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UCH\Downloads\"/>
    </mc:Choice>
  </mc:AlternateContent>
  <xr:revisionPtr revIDLastSave="0" documentId="13_ncr:1_{0AB60346-A7C0-4C17-8587-E7AB3B2E25FF}" xr6:coauthVersionLast="36" xr6:coauthVersionMax="36" xr10:uidLastSave="{00000000-0000-0000-0000-000000000000}"/>
  <bookViews>
    <workbookView xWindow="0" yWindow="0" windowWidth="20400" windowHeight="8130" tabRatio="431" activeTab="1" xr2:uid="{00000000-000D-0000-FFFF-FFFF00000000}"/>
  </bookViews>
  <sheets>
    <sheet name="TABLA DE INDICES" sheetId="17" r:id="rId1"/>
    <sheet name="PLANILLA CALCULO DE HONORARIOS" sheetId="19" r:id="rId2"/>
  </sheets>
  <definedNames>
    <definedName name="_xlnm.Print_Area" localSheetId="1">'PLANILLA CALCULO DE HONORARIOS'!$A$3:$M$51</definedName>
    <definedName name="_xlnm.Print_Area" localSheetId="0">'TABLA DE INDICES'!$B$1:$D$149</definedName>
    <definedName name="COLEGIO">'TABLA DE INDICES'!$B$4:$D$146</definedName>
    <definedName name="ING">#REF!</definedName>
    <definedName name="TIPO">TIPOINTERV[]</definedName>
  </definedNames>
  <calcPr calcId="191029"/>
</workbook>
</file>

<file path=xl/calcChain.xml><?xml version="1.0" encoding="utf-8"?>
<calcChain xmlns="http://schemas.openxmlformats.org/spreadsheetml/2006/main">
  <c r="H5" i="19" l="1"/>
  <c r="D165" i="17" l="1"/>
  <c r="D164" i="17"/>
  <c r="D193" i="17" l="1"/>
  <c r="D172" i="17" s="1"/>
  <c r="D192" i="17"/>
  <c r="D171" i="17" s="1"/>
  <c r="D191" i="17"/>
  <c r="D170" i="17" s="1"/>
  <c r="E14" i="19" l="1"/>
  <c r="E15" i="19"/>
  <c r="E13" i="19"/>
  <c r="R13" i="19"/>
  <c r="H35" i="19"/>
  <c r="H36" i="19"/>
  <c r="G33" i="19"/>
  <c r="G34" i="19"/>
  <c r="G35" i="19"/>
  <c r="G36" i="19"/>
  <c r="S22" i="19"/>
  <c r="O22" i="19"/>
  <c r="S21" i="19"/>
  <c r="O21" i="19"/>
  <c r="S20" i="19"/>
  <c r="O20" i="19"/>
  <c r="S19" i="19"/>
  <c r="O19" i="19"/>
  <c r="S18" i="19"/>
  <c r="O18" i="19"/>
  <c r="S17" i="19"/>
  <c r="O17" i="19"/>
  <c r="S16" i="19"/>
  <c r="O16" i="19"/>
  <c r="F17" i="19" l="1"/>
  <c r="H17" i="19" s="1"/>
  <c r="H43" i="19" s="1"/>
  <c r="E16" i="19"/>
  <c r="H16" i="19" s="1"/>
  <c r="D179" i="17"/>
  <c r="D180" i="17"/>
  <c r="D181" i="17"/>
  <c r="D182" i="17"/>
  <c r="D183" i="17"/>
  <c r="D178" i="17"/>
  <c r="E11" i="19" l="1"/>
  <c r="D156" i="17" l="1"/>
  <c r="D155" i="17"/>
  <c r="D154" i="17"/>
  <c r="F14" i="19" l="1"/>
  <c r="H14" i="19" s="1"/>
  <c r="F11" i="19"/>
  <c r="K5" i="19" l="1"/>
  <c r="G43" i="19"/>
  <c r="G31" i="19" s="1"/>
  <c r="AA30" i="19"/>
  <c r="Z29" i="19"/>
  <c r="AA29" i="19"/>
  <c r="Y29" i="19"/>
  <c r="Y30" i="19"/>
  <c r="Z30" i="19"/>
  <c r="Y28" i="19"/>
  <c r="L19" i="19"/>
  <c r="L18" i="19"/>
  <c r="L17" i="19"/>
  <c r="L21" i="19"/>
  <c r="L20" i="19"/>
  <c r="L22" i="19"/>
  <c r="Z31" i="19"/>
  <c r="Z28" i="19"/>
  <c r="Z27" i="19"/>
  <c r="AA27" i="19"/>
  <c r="AA28" i="19"/>
  <c r="AA31" i="19"/>
  <c r="E10" i="19"/>
  <c r="I21" i="19"/>
  <c r="B21" i="19" s="1"/>
  <c r="I22" i="19"/>
  <c r="B22" i="19" s="1"/>
  <c r="I23" i="19"/>
  <c r="B23" i="19" s="1"/>
  <c r="I24" i="19"/>
  <c r="B24" i="19" s="1"/>
  <c r="E23" i="19" l="1"/>
  <c r="E22" i="19"/>
  <c r="D148" i="17" l="1"/>
  <c r="D147" i="17"/>
  <c r="D146" i="17"/>
  <c r="D145" i="17"/>
  <c r="D144" i="17"/>
  <c r="D143" i="17"/>
  <c r="D142" i="17"/>
  <c r="D138" i="17"/>
  <c r="D137" i="17"/>
  <c r="D136" i="17"/>
  <c r="D133" i="17"/>
  <c r="D132" i="17"/>
  <c r="D131" i="17"/>
  <c r="D130" i="17"/>
  <c r="D129" i="17"/>
  <c r="D128" i="17"/>
  <c r="D125" i="17"/>
  <c r="D124" i="17"/>
  <c r="D123" i="17"/>
  <c r="D122" i="17"/>
  <c r="D119" i="17"/>
  <c r="D118" i="17"/>
  <c r="D117" i="17"/>
  <c r="D116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99" i="17"/>
  <c r="D98" i="17"/>
  <c r="D97" i="17"/>
  <c r="D96" i="17"/>
  <c r="D95" i="17"/>
  <c r="D94" i="17"/>
  <c r="D93" i="17"/>
  <c r="D92" i="17"/>
  <c r="D89" i="17"/>
  <c r="D88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5" i="17"/>
  <c r="D64" i="17"/>
  <c r="D63" i="17"/>
  <c r="D60" i="17"/>
  <c r="D59" i="17"/>
  <c r="D58" i="17"/>
  <c r="D57" i="17"/>
  <c r="D56" i="17"/>
  <c r="D55" i="17"/>
  <c r="D54" i="17"/>
  <c r="D53" i="17"/>
  <c r="D52" i="17"/>
  <c r="D49" i="17"/>
  <c r="D48" i="17"/>
  <c r="D47" i="17"/>
  <c r="D46" i="17"/>
  <c r="D45" i="17"/>
  <c r="D44" i="17"/>
  <c r="D43" i="17"/>
  <c r="F15" i="19" s="1"/>
  <c r="H15" i="19" s="1"/>
  <c r="D42" i="17"/>
  <c r="D41" i="17"/>
  <c r="D38" i="17"/>
  <c r="F12" i="19" s="1"/>
  <c r="D37" i="17"/>
  <c r="D36" i="17"/>
  <c r="D35" i="17"/>
  <c r="F13" i="19" s="1"/>
  <c r="H13" i="19" s="1"/>
  <c r="D34" i="17"/>
  <c r="D33" i="17"/>
  <c r="D32" i="17"/>
  <c r="D31" i="17"/>
  <c r="D30" i="17"/>
  <c r="D29" i="17"/>
  <c r="D26" i="17"/>
  <c r="D25" i="17"/>
  <c r="D24" i="17"/>
  <c r="P11" i="19" s="1"/>
  <c r="R11" i="19" s="1"/>
  <c r="D19" i="17"/>
  <c r="D18" i="17"/>
  <c r="D17" i="17"/>
  <c r="D12" i="17"/>
  <c r="D13" i="17"/>
  <c r="D14" i="17"/>
  <c r="D11" i="17"/>
  <c r="D161" i="17"/>
  <c r="D160" i="17"/>
  <c r="D159" i="17"/>
  <c r="F10" i="19" l="1"/>
  <c r="H10" i="19" s="1"/>
  <c r="P10" i="19"/>
  <c r="R10" i="19" s="1"/>
  <c r="P12" i="19"/>
  <c r="R12" i="19" s="1"/>
  <c r="E12" i="19"/>
  <c r="R14" i="19" l="1"/>
  <c r="N16" i="19" s="1"/>
  <c r="N17" i="19" s="1"/>
  <c r="N18" i="19" s="1"/>
  <c r="N19" i="19" s="1"/>
  <c r="N20" i="19" s="1"/>
  <c r="N21" i="19" s="1"/>
  <c r="N22" i="19" s="1"/>
  <c r="H12" i="19"/>
  <c r="H11" i="19"/>
  <c r="H18" i="19" l="1"/>
  <c r="H44" i="19" s="1"/>
  <c r="P16" i="19"/>
  <c r="I20" i="19"/>
  <c r="E26" i="19"/>
  <c r="E25" i="19"/>
  <c r="E24" i="19"/>
  <c r="E21" i="19"/>
  <c r="E20" i="19"/>
  <c r="I26" i="19"/>
  <c r="B26" i="19" s="1"/>
  <c r="I25" i="19"/>
  <c r="B25" i="19" s="1"/>
  <c r="D20" i="19" l="1"/>
  <c r="F20" i="19" l="1"/>
  <c r="D21" i="19"/>
  <c r="P17" i="19"/>
  <c r="D22" i="19" l="1"/>
  <c r="F21" i="19"/>
  <c r="P18" i="19"/>
  <c r="F22" i="19" l="1"/>
  <c r="D23" i="19"/>
  <c r="P19" i="19"/>
  <c r="F23" i="19" l="1"/>
  <c r="P20" i="19"/>
  <c r="D24" i="19"/>
  <c r="F24" i="19" l="1"/>
  <c r="D25" i="19"/>
  <c r="P21" i="19"/>
  <c r="F25" i="19" l="1"/>
  <c r="D26" i="19"/>
  <c r="F26" i="19" s="1"/>
  <c r="P22" i="19"/>
  <c r="P23" i="19" s="1"/>
  <c r="R23" i="19" s="1"/>
  <c r="H45" i="19" l="1"/>
  <c r="R24" i="19"/>
  <c r="S24" i="19"/>
  <c r="F27" i="19"/>
  <c r="H27" i="19" s="1"/>
  <c r="I27" i="19" s="1"/>
  <c r="H33" i="19" l="1"/>
  <c r="H32" i="19"/>
  <c r="H34" i="19"/>
  <c r="H40" i="19"/>
  <c r="H39" i="19"/>
  <c r="H41" i="19"/>
  <c r="H42" i="19"/>
  <c r="G44" i="19"/>
  <c r="H30" i="19" l="1"/>
  <c r="H31" i="19"/>
  <c r="G32" i="19"/>
  <c r="G30" i="19"/>
  <c r="H37" i="19" l="1"/>
  <c r="H49" i="19" s="1"/>
  <c r="H48" i="19" l="1"/>
  <c r="H50" i="19" s="1"/>
  <c r="I47" i="19" s="1"/>
  <c r="I36" i="19"/>
</calcChain>
</file>

<file path=xl/sharedStrings.xml><?xml version="1.0" encoding="utf-8"?>
<sst xmlns="http://schemas.openxmlformats.org/spreadsheetml/2006/main" count="420" uniqueCount="226">
  <si>
    <t>TOTALES</t>
  </si>
  <si>
    <t>a</t>
  </si>
  <si>
    <t>Sub. Total</t>
  </si>
  <si>
    <t>1. RESIDENCIAL</t>
  </si>
  <si>
    <t>Vivienda hasta  60 m2</t>
  </si>
  <si>
    <t>Vivienda hasta 120 m2</t>
  </si>
  <si>
    <t>Vivienda hasta 240 m2</t>
  </si>
  <si>
    <t>Vivienda de mas de 240m2</t>
  </si>
  <si>
    <t>Viviendas Multifamiliares</t>
  </si>
  <si>
    <t xml:space="preserve">2. COMERCIAL </t>
  </si>
  <si>
    <t>Edificios para oficinas</t>
  </si>
  <si>
    <t>Edificios Comerciales</t>
  </si>
  <si>
    <t xml:space="preserve">Recinto para uso comercial / oficinas hasta 60m2. </t>
  </si>
  <si>
    <t xml:space="preserve">Recinto para uso comercial/ oficinas de 60 hasta 240 m2. </t>
  </si>
  <si>
    <t xml:space="preserve">Recinto para uso comercial/ oficinas de 240 a 480 m2 . </t>
  </si>
  <si>
    <t xml:space="preserve">Recinto para uso comercial/ oficinas de mas de 480 m2 (centros comerciales) . </t>
  </si>
  <si>
    <t>Galería comercial en un solo nivel</t>
  </si>
  <si>
    <t>Centro comercial en varios niveles</t>
  </si>
  <si>
    <t>Cochera en un nivel planta baja (sin cubierta)</t>
  </si>
  <si>
    <t>Cocheras en planta baja con cubierta</t>
  </si>
  <si>
    <t>Edificio de estacionamiento en 2 o mas niveles</t>
  </si>
  <si>
    <t>3. DEPOSITO</t>
  </si>
  <si>
    <t xml:space="preserve">4. INDUSTRIA </t>
  </si>
  <si>
    <t>Panaderias / confiterias /  pastelerias</t>
  </si>
  <si>
    <t>Frigorificos</t>
  </si>
  <si>
    <t>Talleres industriales  c/ pequeñas maquinarias o de baja complejidad - pequeños aserraderos, etc</t>
  </si>
  <si>
    <t xml:space="preserve">Talleres industriales de alta complejidad o  c/ instalaciones especiales  </t>
  </si>
  <si>
    <t xml:space="preserve">Talleres mecánicos, de chapa y pintura o similares </t>
  </si>
  <si>
    <t xml:space="preserve">Invernaderos para cria de animales </t>
  </si>
  <si>
    <t>Viveros</t>
  </si>
  <si>
    <t>Silos</t>
  </si>
  <si>
    <t>5. HOTELERIA</t>
  </si>
  <si>
    <t>Hospedajes, hosterías, moteles</t>
  </si>
  <si>
    <t>Hoteles 2 y 3 estrellas</t>
  </si>
  <si>
    <t>Hoteles de primera categoría (cuatro y cinco estrellas)</t>
  </si>
  <si>
    <t>6. RECREATIVO Y CULTURAL</t>
  </si>
  <si>
    <t>Bibliotecas públicas</t>
  </si>
  <si>
    <t xml:space="preserve">Cafés concert </t>
  </si>
  <si>
    <t>Auditorio</t>
  </si>
  <si>
    <t>Cines</t>
  </si>
  <si>
    <t>Teatros</t>
  </si>
  <si>
    <t>Museos</t>
  </si>
  <si>
    <t>Centros Culturales</t>
  </si>
  <si>
    <t>Centro de Exposiciones</t>
  </si>
  <si>
    <t>Casinos/Salas de juego</t>
  </si>
  <si>
    <t>Anfiteatros</t>
  </si>
  <si>
    <t>Salones de fiesta, Discotecas</t>
  </si>
  <si>
    <t>Restoranes</t>
  </si>
  <si>
    <t>Bares y Pubs</t>
  </si>
  <si>
    <t>Parrillas y casa de comidas</t>
  </si>
  <si>
    <t>Pizerias y Hamburgueserías</t>
  </si>
  <si>
    <t>Heladerías</t>
  </si>
  <si>
    <t>Patio de Comidas</t>
  </si>
  <si>
    <t xml:space="preserve">7. CULTO </t>
  </si>
  <si>
    <t>Capillas o equivalentes en otros cultos</t>
  </si>
  <si>
    <t>Iglesias o equivalentes en otros cultos</t>
  </si>
  <si>
    <t>8. DEPORTIVO</t>
  </si>
  <si>
    <t xml:space="preserve">Clubes (sedes sociales) </t>
  </si>
  <si>
    <t>Estadios cubiertos</t>
  </si>
  <si>
    <t>Estadios abiertos</t>
  </si>
  <si>
    <t xml:space="preserve">Centros deportivos o Polideportivos. </t>
  </si>
  <si>
    <t>Equipamiento deportivo en espacios urbanos</t>
  </si>
  <si>
    <t>Centro multideportivo . Gimnasio . Pabellones de gimnasia</t>
  </si>
  <si>
    <t>Piscinas cubiertas</t>
  </si>
  <si>
    <t>Piscinas descubiertas</t>
  </si>
  <si>
    <t>9. SALUD</t>
  </si>
  <si>
    <t>Sala de primeros auxilios</t>
  </si>
  <si>
    <t>Consultorios individuales</t>
  </si>
  <si>
    <t>Policonsultorios</t>
  </si>
  <si>
    <t xml:space="preserve">Clinicas </t>
  </si>
  <si>
    <t>Farmacias / opticas</t>
  </si>
  <si>
    <t>Sanatorios</t>
  </si>
  <si>
    <t>Geriatricos - Asilos . Hogar de dia, Hogares y/ o similares</t>
  </si>
  <si>
    <t>Droguerias</t>
  </si>
  <si>
    <t>Laboratorios</t>
  </si>
  <si>
    <t>Hospitales</t>
  </si>
  <si>
    <t>Centros de Rehabilitacion</t>
  </si>
  <si>
    <t>Spa</t>
  </si>
  <si>
    <t>10. TRANSPORTE y ESTACIONES DE SERVICIO</t>
  </si>
  <si>
    <t>Estaciones de servicios p/automotores</t>
  </si>
  <si>
    <t>Estaciones de pasajeros (p/ómnibus, trenes y náutica)</t>
  </si>
  <si>
    <t>Aeropuertos  Aeródromos</t>
  </si>
  <si>
    <t>Guardería náutica</t>
  </si>
  <si>
    <t>11. EDUCACION</t>
  </si>
  <si>
    <t>Colegios, y/o Escuelas</t>
  </si>
  <si>
    <t xml:space="preserve">Universidades / Facultades </t>
  </si>
  <si>
    <t>Jardines Infantiles</t>
  </si>
  <si>
    <t>Institutos de Enseñanza</t>
  </si>
  <si>
    <t xml:space="preserve">12. INSTITUCIONALES Y FINANCIERAS </t>
  </si>
  <si>
    <t>Casas de Gobierno . Municipalidades</t>
  </si>
  <si>
    <t>Embajadas . Consulados</t>
  </si>
  <si>
    <t>Tribunales . Edificios Legislativos</t>
  </si>
  <si>
    <t>Bancos</t>
  </si>
  <si>
    <t>Instituciones de Credito / Financieras</t>
  </si>
  <si>
    <t>Casas de Cambio</t>
  </si>
  <si>
    <t>13. SEGURIDAD</t>
  </si>
  <si>
    <t>Complejo Penitenciario</t>
  </si>
  <si>
    <t>Comisarias</t>
  </si>
  <si>
    <t>Estaciones de Bomberos</t>
  </si>
  <si>
    <t>GRUPO 2 . ARQUITECTURA EFIMERA - MONUMENTOS - ARQUITECTURA FUNERARIA</t>
  </si>
  <si>
    <t>Stand de Exposición Comercial o Institucional</t>
  </si>
  <si>
    <t>Pabellones</t>
  </si>
  <si>
    <t>Monumentos</t>
  </si>
  <si>
    <t>Salas velatorias</t>
  </si>
  <si>
    <t>Cementerios Públicos y Privados - (Espacios exteriores, parquizaciones)</t>
  </si>
  <si>
    <t>Crematorios</t>
  </si>
  <si>
    <t>Bóvedas o Panteones</t>
  </si>
  <si>
    <t>INTERIORISMO/TERMINACIONES/ EQUIPAMIENTO</t>
  </si>
  <si>
    <t>Reforma de fachadas</t>
  </si>
  <si>
    <t>Restaurantes de categoría</t>
  </si>
  <si>
    <t>Espacio exterior y esparcimiento</t>
  </si>
  <si>
    <t>$/M2</t>
  </si>
  <si>
    <r>
      <t xml:space="preserve">Viviendas Unifamiliares                                                                                                      </t>
    </r>
    <r>
      <rPr>
        <b/>
        <vertAlign val="superscript"/>
        <sz val="12"/>
        <rFont val="Arial"/>
        <family val="2"/>
      </rPr>
      <t xml:space="preserve">            </t>
    </r>
  </si>
  <si>
    <t>$</t>
  </si>
  <si>
    <t>hasta</t>
  </si>
  <si>
    <t>mas de</t>
  </si>
  <si>
    <t>%</t>
  </si>
  <si>
    <t xml:space="preserve">Parques y plazas hasta 10.000m2    </t>
  </si>
  <si>
    <t xml:space="preserve">Parques y plazas mayores de 10.000m2    </t>
  </si>
  <si>
    <t>Desarrollo urbano</t>
  </si>
  <si>
    <t>Desarrollos de 0 a 5has</t>
  </si>
  <si>
    <t>desarrollos de 20has o mas</t>
  </si>
  <si>
    <t>Desarrollos de  5has a 20has</t>
  </si>
  <si>
    <t xml:space="preserve">Refacción y Diseño Interior </t>
  </si>
  <si>
    <t>Reforma y/o Refacción de nucleos humedos</t>
  </si>
  <si>
    <t>GRUPO 1 . OBRAS DE ARQUITECTURA Y EDIFICIOS EN GENERAL.</t>
  </si>
  <si>
    <t>GRUPO 3 . PLANIFICACION Y DISEÑO DEL PAISAJE Y DISEÑO DE INTERIOR</t>
  </si>
  <si>
    <t>"M"</t>
  </si>
  <si>
    <t>monto obra</t>
  </si>
  <si>
    <r>
      <t>VALOR  '</t>
    </r>
    <r>
      <rPr>
        <b/>
        <sz val="12"/>
        <rFont val="Arial"/>
        <family val="2"/>
      </rPr>
      <t>K'</t>
    </r>
    <r>
      <rPr>
        <sz val="12"/>
        <rFont val="Arial"/>
        <family val="2"/>
      </rPr>
      <t>= $/M2</t>
    </r>
  </si>
  <si>
    <t>Estudios tecnicos (según Articulo 86)</t>
  </si>
  <si>
    <t>CPAUCH</t>
  </si>
  <si>
    <t>CAJA PREVISION</t>
  </si>
  <si>
    <t>APORTES</t>
  </si>
  <si>
    <t>TOTAL</t>
  </si>
  <si>
    <t>TIPOLOGIA  (*)</t>
  </si>
  <si>
    <t>OBRA NUEVA</t>
  </si>
  <si>
    <t>INTERIORISMO</t>
  </si>
  <si>
    <t>COEF</t>
  </si>
  <si>
    <t>(*) Seleccionar "CON DESPLEGABLE" la tipologia de construccion a realizar</t>
  </si>
  <si>
    <t>M2  (***)</t>
  </si>
  <si>
    <t>CLASE DE OBRA (**)</t>
  </si>
  <si>
    <t>IMPORTANTE !!</t>
  </si>
  <si>
    <t>(**) Seleccionar "CON DESPLEGABLE" la clase de obra a realizar</t>
  </si>
  <si>
    <t>CLASE DE OBRA</t>
  </si>
  <si>
    <t>NOTA:</t>
  </si>
  <si>
    <t>de publicaciones externas.</t>
  </si>
  <si>
    <t>Dirección Técnica de Obra, Beneficios de Empresa e Impuestos.</t>
  </si>
  <si>
    <t xml:space="preserve">PLANILLA para DETERMINACIÓN de HONORARIOS </t>
  </si>
  <si>
    <t>Según Cómputo y Presupuesto</t>
  </si>
  <si>
    <t>-</t>
  </si>
  <si>
    <t xml:space="preserve">  Coeficiente</t>
  </si>
  <si>
    <t>VM Hasta 4 Niveles</t>
  </si>
  <si>
    <t>VM Mas de 4 Niveles hasta 13 niveles</t>
  </si>
  <si>
    <t xml:space="preserve">VM Mas de 13 niveles </t>
  </si>
  <si>
    <t>O Hasta 4 Niveles o Plantas</t>
  </si>
  <si>
    <t>O Mas de 4 Niveles hasta 13 niveles</t>
  </si>
  <si>
    <t xml:space="preserve">O Mas de 13 niveles </t>
  </si>
  <si>
    <t>Deposito anexo a local comercial.</t>
  </si>
  <si>
    <t>Tinglados abiertos c/ techo metalico con o sin piso</t>
  </si>
  <si>
    <t>Galpones cerrados y techados metalicos hasta 5m de altura</t>
  </si>
  <si>
    <t>Galpones cerrado y techados metalicos de mas de 5m de altura</t>
  </si>
  <si>
    <t>Galpones cerrados con mamposteria y techo metalico hasta 5m de altura</t>
  </si>
  <si>
    <t>Galpones cerrados con mamposteria y techo metalico de mas de 5m de altura</t>
  </si>
  <si>
    <t>Galpones cerrados con mamposteria y techo metalico de mas de 5m de altura con entrepisos</t>
  </si>
  <si>
    <t>Galpones cerrados con mamposteria y techo de H° A° hasta 5m de altura</t>
  </si>
  <si>
    <t>Galpones cerrados con mamposteria y techo de H° A° de mas de  5m de altura</t>
  </si>
  <si>
    <t xml:space="preserve">Galpones cerrados con mamposteria y techo de H° A° con mas de  5m de altura y entrepisos </t>
  </si>
  <si>
    <t>Fabrica de productos alimenticios en gral.</t>
  </si>
  <si>
    <t xml:space="preserve">Valor K  =   $/M2 </t>
  </si>
  <si>
    <t>PORCENTAJE EN RELACIÓN A MONTO DE OBRA</t>
  </si>
  <si>
    <t>APORTES PROFESIONALES</t>
  </si>
  <si>
    <t>desde</t>
  </si>
  <si>
    <t>(***) ingresar la SUPERFICIE o MONTO DE OBRA s/ corresponda en las celdas destacadas en color rojo</t>
  </si>
  <si>
    <t>TABLA de TIPOLOGIAS de OBRAS de ARQUITECTURA - INDICES DE REFERENCIA</t>
  </si>
  <si>
    <r>
      <t xml:space="preserve">Se calcula el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 xml:space="preserve"> de una Tipología de</t>
    </r>
    <r>
      <rPr>
        <b/>
        <sz val="9.5"/>
        <rFont val="Arial"/>
        <family val="2"/>
      </rPr>
      <t xml:space="preserve"> Vivienda Unifamiliar</t>
    </r>
    <r>
      <rPr>
        <sz val="9.5"/>
        <rFont val="Arial"/>
        <family val="2"/>
      </rPr>
      <t xml:space="preserve"> mínima de dos dormitorios, tipo barrio </t>
    </r>
  </si>
  <si>
    <t>'E'</t>
  </si>
  <si>
    <r>
      <t xml:space="preserve">El valor </t>
    </r>
    <r>
      <rPr>
        <b/>
        <sz val="9.5"/>
        <rFont val="Arial"/>
        <family val="2"/>
      </rPr>
      <t>"K"</t>
    </r>
    <r>
      <rPr>
        <sz val="9.5"/>
        <rFont val="Arial"/>
        <family val="2"/>
      </rPr>
      <t xml:space="preserve"> es el índice de actualizacion para </t>
    </r>
    <r>
      <rPr>
        <b/>
        <sz val="9.5"/>
        <rFont val="Arial"/>
        <family val="2"/>
      </rPr>
      <t>determicación de HONORARIOS PROFESIONALES, referido al costo unitario de la construccion</t>
    </r>
  </si>
  <si>
    <r>
      <t xml:space="preserve">Surge de la resolución del CPAUCH de establecer un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>, M</t>
    </r>
    <r>
      <rPr>
        <b/>
        <sz val="9.5"/>
        <rFont val="Arial"/>
        <family val="2"/>
      </rPr>
      <t xml:space="preserve">ínimo </t>
    </r>
    <r>
      <rPr>
        <sz val="9.5"/>
        <rFont val="Arial"/>
        <family val="2"/>
      </rPr>
      <t xml:space="preserve">y </t>
    </r>
    <r>
      <rPr>
        <b/>
        <sz val="9.5"/>
        <rFont val="Arial"/>
        <family val="2"/>
      </rPr>
      <t>Propio</t>
    </r>
    <r>
      <rPr>
        <sz val="9.5"/>
        <rFont val="Arial"/>
        <family val="2"/>
      </rPr>
      <t xml:space="preserve"> sin dependencia </t>
    </r>
  </si>
  <si>
    <r>
      <t xml:space="preserve">(denominada </t>
    </r>
    <r>
      <rPr>
        <b/>
        <sz val="9.5"/>
        <rFont val="Arial"/>
        <family val="2"/>
      </rPr>
      <t>Tipología "A"</t>
    </r>
    <r>
      <rPr>
        <sz val="9.5"/>
        <rFont val="Arial"/>
        <family val="2"/>
      </rPr>
      <t>), mediante la determinación de cómputo métrico y análisis de costos unitarios por rubros e ítems más comunes.</t>
    </r>
  </si>
  <si>
    <t>La descripción tecnológico constructiva de la Vivienda estará detallada en la Memoria Descriptiva.</t>
  </si>
  <si>
    <t>% sobre ESCALAS de OBRAS</t>
  </si>
  <si>
    <t>Proyecto (según Articulo 44)</t>
  </si>
  <si>
    <t>Direccion Técnica (según Articulo 44)</t>
  </si>
  <si>
    <t>Reforma de interior</t>
  </si>
  <si>
    <t>Representación Técnica de Empresas y/o comitentes Privados (según Articulo 72)</t>
  </si>
  <si>
    <t>Se actualizará y publicará periódicamente según lo determine el CPAUCH.</t>
  </si>
  <si>
    <r>
      <t xml:space="preserve">El cálculo está destinado a obtener el </t>
    </r>
    <r>
      <rPr>
        <b/>
        <sz val="9.5"/>
        <rFont val="Arial"/>
        <family val="2"/>
      </rPr>
      <t>COSTO-COSTO</t>
    </r>
    <r>
      <rPr>
        <sz val="9.5"/>
        <rFont val="Arial"/>
        <family val="2"/>
      </rPr>
      <t xml:space="preserve"> excluyendo </t>
    </r>
    <r>
      <rPr>
        <b/>
        <sz val="9.5"/>
        <rFont val="Arial"/>
        <family val="2"/>
      </rPr>
      <t>Costo del Terreno</t>
    </r>
    <r>
      <rPr>
        <sz val="9.5"/>
        <rFont val="Arial"/>
        <family val="2"/>
      </rPr>
      <t xml:space="preserve">, </t>
    </r>
    <r>
      <rPr>
        <b/>
        <sz val="9.5"/>
        <rFont val="Arial"/>
        <family val="2"/>
      </rPr>
      <t>infraestructura externa</t>
    </r>
    <r>
      <rPr>
        <sz val="9.5"/>
        <rFont val="Arial"/>
        <family val="2"/>
      </rPr>
      <t>,</t>
    </r>
    <r>
      <rPr>
        <b/>
        <sz val="9.5"/>
        <rFont val="Arial"/>
        <family val="2"/>
      </rPr>
      <t xml:space="preserve"> Honorarios de Proyecto y</t>
    </r>
  </si>
  <si>
    <t>Artículo 65°: - HIGIENE Y SEGURIDAD - Documentación requerida por la normativa oficial – HONORARIOS POR CONFECCION DEL LEGAJO. Consultas</t>
  </si>
  <si>
    <t xml:space="preserve">HIGIENE Y SEGURIDAD Obras hasta 100 m2 </t>
  </si>
  <si>
    <t xml:space="preserve">HIGIENE Y SEGURIDAD Obras de 301 m2 hasta 500 m2 </t>
  </si>
  <si>
    <t xml:space="preserve">HIGIENE Y SEGURIDAD Obras de 501 m2 hasta 1000 m2 </t>
  </si>
  <si>
    <t xml:space="preserve">HIGIENE Y SEGURIDAD Obras de 1001 m2 hasta 1500 m2 </t>
  </si>
  <si>
    <t xml:space="preserve">HIGIENE Y SEGURIDAD Obras de más de 1500 m2 </t>
  </si>
  <si>
    <t>Ninguna</t>
  </si>
  <si>
    <t>(***) Seleccionar "CON DESPLEGABLE" la funcion según Ejercicio Profesional.</t>
  </si>
  <si>
    <t>Nº</t>
  </si>
  <si>
    <t>TIPO</t>
  </si>
  <si>
    <t>INDICE</t>
  </si>
  <si>
    <t>Piletas de Fibra</t>
  </si>
  <si>
    <t>$/m²</t>
  </si>
  <si>
    <t>Piletas de Material hasta 30.00 m²</t>
  </si>
  <si>
    <t>Piletas de Material más de 30.00 m²</t>
  </si>
  <si>
    <t>GRUPO 4 . PILETAS</t>
  </si>
  <si>
    <t>DETERMINACION DE INDICES PARA LA DETERMINACION DE APORTES Y HONORARIOS PARA TRABAJOS DE PILETEAS</t>
  </si>
  <si>
    <t>INDICES PARA TRABAJOS DE PILETAS</t>
  </si>
  <si>
    <t>HIGIENE Y SEGURIDAD (NINGUNO)</t>
  </si>
  <si>
    <t>SEGÚN SERVICIO PROFESIONAL</t>
  </si>
  <si>
    <t>Higiene y Seguridad (según Articulo 65)</t>
  </si>
  <si>
    <t>APORTE MINIMO</t>
  </si>
  <si>
    <t>Representante técnico (Artículo 73)</t>
  </si>
  <si>
    <t>MONTO</t>
  </si>
  <si>
    <t>Artículo 52°: Medición y ejecución de planos. Honorarios</t>
  </si>
  <si>
    <t>Artículo 44°: Honorarios por proyecto y dirección de obras de arquitectura</t>
  </si>
  <si>
    <t>REFACCIONES</t>
  </si>
  <si>
    <t>PLANILLA GENERAL</t>
  </si>
  <si>
    <t>COEF.</t>
  </si>
  <si>
    <t>Rangos Representacion Técnica</t>
  </si>
  <si>
    <t>Honorario</t>
  </si>
  <si>
    <t>INDICE K</t>
  </si>
  <si>
    <t>EXCLUSIVO PARA MEDICIÓN DE OBRA</t>
  </si>
  <si>
    <t>Medición de Obra (según Articulo 52)</t>
  </si>
  <si>
    <t>MEDICIÓN DE OBRA</t>
  </si>
  <si>
    <t>MEDICION DE OBRA</t>
  </si>
  <si>
    <t xml:space="preserve">HIGIENE Y SEGURIDAD Obras de 100 m2 hasta 300 m2 </t>
  </si>
  <si>
    <t>VIGENCIA DEL 1 DE JUNIO DE 2025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</si>
</sst>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2C0A]\ #,##0.00"/>
    <numFmt numFmtId="167" formatCode="&quot;$&quot;\ #,##0.00"/>
    <numFmt numFmtId="168" formatCode="&quot;$&quot;\ #,##0.0"/>
    <numFmt numFmtId="169" formatCode="0.000"/>
    <numFmt numFmtId="170" formatCode="\$\ #,##0.00"/>
    <numFmt numFmtId="171" formatCode="0.0%"/>
    <numFmt numFmtId="172" formatCode="_-* #,##0\ _€_-;\-* #,##0\ _€_-;_-* &quot;-&quot;??\ _€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b/>
      <sz val="13"/>
      <color rgb="FFFF0000"/>
      <name val="Arial"/>
      <family val="2"/>
    </font>
    <font>
      <b/>
      <vertAlign val="superscript"/>
      <sz val="12"/>
      <name val="Arial"/>
      <family val="2"/>
    </font>
    <font>
      <sz val="12"/>
      <color rgb="FF0070C0"/>
      <name val="Arial"/>
      <family val="2"/>
    </font>
    <font>
      <sz val="12"/>
      <color rgb="FF0070C0"/>
      <name val="Times New Roman"/>
      <family val="1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Times New Roman"/>
      <family val="1"/>
    </font>
    <font>
      <b/>
      <sz val="10"/>
      <color rgb="FF00B050"/>
      <name val="Arial"/>
      <family val="2"/>
    </font>
    <font>
      <sz val="10"/>
      <name val="Century Schoolbook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theme="0" tint="-0.3499862666707357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u/>
      <sz val="1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1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16" fillId="0" borderId="0"/>
    <xf numFmtId="44" fontId="19" fillId="0" borderId="0" applyFont="0" applyFill="0" applyBorder="0" applyAlignment="0" applyProtection="0"/>
    <xf numFmtId="0" fontId="1" fillId="6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9" fontId="37" fillId="0" borderId="0" applyFont="0" applyFill="0" applyBorder="0" applyAlignment="0" applyProtection="0"/>
  </cellStyleXfs>
  <cellXfs count="437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9" fontId="6" fillId="0" borderId="20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169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0" fontId="6" fillId="0" borderId="11" xfId="0" applyNumberFormat="1" applyFont="1" applyBorder="1" applyAlignment="1">
      <alignment horizontal="center" vertical="center" wrapText="1"/>
    </xf>
    <xf numFmtId="169" fontId="6" fillId="0" borderId="20" xfId="0" applyNumberFormat="1" applyFont="1" applyBorder="1" applyAlignment="1">
      <alignment horizontal="center" vertical="center" wrapText="1"/>
    </xf>
    <xf numFmtId="170" fontId="11" fillId="0" borderId="0" xfId="0" applyNumberFormat="1" applyFont="1" applyAlignment="1">
      <alignment horizontal="center" vertical="center" wrapText="1"/>
    </xf>
    <xf numFmtId="0" fontId="11" fillId="0" borderId="0" xfId="0" applyFont="1"/>
    <xf numFmtId="169" fontId="6" fillId="0" borderId="2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9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70" fontId="6" fillId="0" borderId="0" xfId="0" applyNumberFormat="1" applyFont="1" applyAlignment="1">
      <alignment horizontal="center" vertical="center" wrapText="1"/>
    </xf>
    <xf numFmtId="169" fontId="6" fillId="0" borderId="11" xfId="0" applyNumberFormat="1" applyFont="1" applyBorder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170" fontId="13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4" fillId="5" borderId="0" xfId="0" applyFont="1" applyFill="1"/>
    <xf numFmtId="0" fontId="6" fillId="0" borderId="26" xfId="0" applyFont="1" applyBorder="1" applyAlignment="1">
      <alignment horizontal="left" vertical="center" wrapText="1"/>
    </xf>
    <xf numFmtId="169" fontId="6" fillId="0" borderId="26" xfId="0" applyNumberFormat="1" applyFont="1" applyBorder="1" applyAlignment="1">
      <alignment horizontal="center" wrapText="1"/>
    </xf>
    <xf numFmtId="170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wrapText="1"/>
    </xf>
    <xf numFmtId="170" fontId="6" fillId="0" borderId="2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/>
    <xf numFmtId="0" fontId="6" fillId="0" borderId="11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9" fontId="6" fillId="0" borderId="26" xfId="0" applyNumberFormat="1" applyFont="1" applyBorder="1" applyAlignment="1">
      <alignment horizontal="center" vertical="center" wrapText="1"/>
    </xf>
    <xf numFmtId="170" fontId="6" fillId="0" borderId="12" xfId="0" applyNumberFormat="1" applyFont="1" applyBorder="1" applyAlignment="1">
      <alignment horizontal="center" vertical="center" wrapText="1"/>
    </xf>
    <xf numFmtId="170" fontId="6" fillId="0" borderId="2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169" fontId="11" fillId="0" borderId="38" xfId="0" applyNumberFormat="1" applyFont="1" applyBorder="1" applyAlignment="1">
      <alignment horizontal="center" wrapText="1"/>
    </xf>
    <xf numFmtId="170" fontId="13" fillId="0" borderId="29" xfId="0" applyNumberFormat="1" applyFont="1" applyBorder="1" applyAlignment="1">
      <alignment horizontal="center" vertical="center" wrapText="1"/>
    </xf>
    <xf numFmtId="0" fontId="14" fillId="7" borderId="0" xfId="0" applyFont="1" applyFill="1"/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left" vertical="top" wrapText="1"/>
    </xf>
    <xf numFmtId="0" fontId="0" fillId="3" borderId="29" xfId="0" applyFill="1" applyBorder="1" applyAlignment="1">
      <alignment horizontal="center"/>
    </xf>
    <xf numFmtId="166" fontId="9" fillId="3" borderId="31" xfId="0" applyNumberFormat="1" applyFont="1" applyFill="1" applyBorder="1" applyAlignment="1">
      <alignment horizontal="left" vertical="center"/>
    </xf>
    <xf numFmtId="10" fontId="38" fillId="13" borderId="49" xfId="4" applyNumberFormat="1" applyFont="1" applyFill="1" applyBorder="1" applyAlignment="1">
      <alignment horizontal="center"/>
    </xf>
    <xf numFmtId="0" fontId="39" fillId="13" borderId="50" xfId="0" applyFont="1" applyFill="1" applyBorder="1" applyAlignment="1">
      <alignment horizontal="center"/>
    </xf>
    <xf numFmtId="10" fontId="38" fillId="13" borderId="51" xfId="4" applyNumberFormat="1" applyFont="1" applyFill="1" applyBorder="1" applyAlignment="1">
      <alignment horizontal="center"/>
    </xf>
    <xf numFmtId="0" fontId="39" fillId="13" borderId="52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7" fillId="3" borderId="54" xfId="0" quotePrefix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4" fillId="14" borderId="3" xfId="0" applyFont="1" applyFill="1" applyBorder="1" applyAlignment="1">
      <alignment vertical="center" wrapText="1"/>
    </xf>
    <xf numFmtId="0" fontId="4" fillId="14" borderId="38" xfId="0" applyFont="1" applyFill="1" applyBorder="1" applyAlignment="1">
      <alignment vertical="center" wrapText="1"/>
    </xf>
    <xf numFmtId="0" fontId="4" fillId="14" borderId="29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167" fontId="11" fillId="0" borderId="0" xfId="0" applyNumberFormat="1" applyFont="1" applyFill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wrapText="1"/>
    </xf>
    <xf numFmtId="167" fontId="6" fillId="0" borderId="21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69" fontId="6" fillId="0" borderId="0" xfId="0" applyNumberFormat="1" applyFont="1" applyFill="1" applyAlignment="1">
      <alignment horizontal="center" wrapText="1"/>
    </xf>
    <xf numFmtId="167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20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69" fontId="11" fillId="0" borderId="0" xfId="0" applyNumberFormat="1" applyFont="1" applyFill="1" applyAlignment="1">
      <alignment horizontal="center" vertical="center" wrapText="1"/>
    </xf>
    <xf numFmtId="170" fontId="11" fillId="0" borderId="0" xfId="0" applyNumberFormat="1" applyFont="1" applyFill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169" fontId="6" fillId="0" borderId="26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69" fontId="6" fillId="0" borderId="24" xfId="0" applyNumberFormat="1" applyFont="1" applyFill="1" applyBorder="1" applyAlignment="1">
      <alignment horizontal="center" vertical="center" wrapText="1"/>
    </xf>
    <xf numFmtId="169" fontId="6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69" fontId="6" fillId="0" borderId="18" xfId="0" applyNumberFormat="1" applyFont="1" applyFill="1" applyBorder="1" applyAlignment="1">
      <alignment horizontal="center" wrapText="1"/>
    </xf>
    <xf numFmtId="169" fontId="6" fillId="0" borderId="23" xfId="0" applyNumberFormat="1" applyFont="1" applyFill="1" applyBorder="1" applyAlignment="1">
      <alignment horizontal="center" wrapText="1"/>
    </xf>
    <xf numFmtId="169" fontId="11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169" fontId="6" fillId="0" borderId="27" xfId="0" applyNumberFormat="1" applyFont="1" applyFill="1" applyBorder="1" applyAlignment="1">
      <alignment horizontal="center" wrapText="1"/>
    </xf>
    <xf numFmtId="170" fontId="6" fillId="0" borderId="2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19" xfId="0" applyFont="1" applyFill="1" applyBorder="1" applyAlignment="1">
      <alignment vertical="top" wrapText="1"/>
    </xf>
    <xf numFmtId="169" fontId="6" fillId="0" borderId="30" xfId="0" applyNumberFormat="1" applyFont="1" applyFill="1" applyBorder="1" applyAlignment="1">
      <alignment horizontal="center" wrapText="1"/>
    </xf>
    <xf numFmtId="170" fontId="6" fillId="0" borderId="2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wrapText="1"/>
    </xf>
    <xf numFmtId="170" fontId="6" fillId="0" borderId="37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wrapText="1"/>
    </xf>
    <xf numFmtId="0" fontId="42" fillId="0" borderId="55" xfId="0" applyFont="1" applyBorder="1" applyAlignment="1">
      <alignment vertical="center"/>
    </xf>
    <xf numFmtId="4" fontId="42" fillId="0" borderId="55" xfId="0" applyNumberFormat="1" applyFont="1" applyBorder="1" applyAlignment="1">
      <alignment horizontal="right" vertical="center"/>
    </xf>
    <xf numFmtId="0" fontId="0" fillId="0" borderId="0" xfId="0" applyProtection="1">
      <protection locked="0"/>
    </xf>
    <xf numFmtId="0" fontId="32" fillId="10" borderId="10" xfId="8" applyFont="1" applyBorder="1" applyAlignment="1" applyProtection="1">
      <alignment horizontal="center" vertical="center" wrapText="1"/>
      <protection locked="0"/>
    </xf>
    <xf numFmtId="165" fontId="33" fillId="12" borderId="44" xfId="7" applyNumberFormat="1" applyFont="1" applyFill="1" applyBorder="1" applyAlignment="1" applyProtection="1">
      <alignment vertical="center"/>
      <protection locked="0"/>
    </xf>
    <xf numFmtId="165" fontId="33" fillId="12" borderId="45" xfId="7" applyNumberFormat="1" applyFont="1" applyFill="1" applyBorder="1" applyAlignment="1" applyProtection="1">
      <alignment vertical="center"/>
      <protection locked="0"/>
    </xf>
    <xf numFmtId="44" fontId="20" fillId="12" borderId="45" xfId="5" applyFont="1" applyFill="1" applyBorder="1" applyAlignment="1" applyProtection="1">
      <alignment horizontal="left" vertical="center"/>
      <protection locked="0"/>
    </xf>
    <xf numFmtId="0" fontId="4" fillId="14" borderId="0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42" fillId="0" borderId="42" xfId="0" applyFont="1" applyBorder="1" applyAlignment="1">
      <alignment vertical="center"/>
    </xf>
    <xf numFmtId="0" fontId="0" fillId="0" borderId="0" xfId="0" applyProtection="1"/>
    <xf numFmtId="2" fontId="2" fillId="0" borderId="0" xfId="4" applyNumberFormat="1" applyFont="1" applyFill="1" applyProtection="1"/>
    <xf numFmtId="0" fontId="2" fillId="0" borderId="0" xfId="4" applyFont="1" applyFill="1" applyAlignment="1" applyProtection="1">
      <alignment horizontal="left"/>
    </xf>
    <xf numFmtId="0" fontId="2" fillId="0" borderId="0" xfId="4" applyFont="1" applyFill="1" applyProtection="1"/>
    <xf numFmtId="0" fontId="2" fillId="0" borderId="0" xfId="0" applyFont="1" applyProtection="1"/>
    <xf numFmtId="0" fontId="6" fillId="11" borderId="33" xfId="0" applyFont="1" applyFill="1" applyBorder="1" applyProtection="1"/>
    <xf numFmtId="4" fontId="5" fillId="11" borderId="31" xfId="0" applyNumberFormat="1" applyFont="1" applyFill="1" applyBorder="1" applyProtection="1"/>
    <xf numFmtId="0" fontId="20" fillId="0" borderId="41" xfId="3" applyFont="1" applyFill="1" applyBorder="1" applyAlignment="1" applyProtection="1">
      <alignment horizontal="center" vertical="center" wrapText="1"/>
    </xf>
    <xf numFmtId="44" fontId="20" fillId="7" borderId="43" xfId="5" applyFont="1" applyFill="1" applyBorder="1" applyAlignment="1" applyProtection="1">
      <alignment horizontal="left" vertical="center"/>
    </xf>
    <xf numFmtId="44" fontId="21" fillId="7" borderId="44" xfId="5" applyFont="1" applyFill="1" applyBorder="1" applyAlignment="1" applyProtection="1">
      <alignment vertical="center"/>
    </xf>
    <xf numFmtId="0" fontId="20" fillId="0" borderId="32" xfId="3" applyFont="1" applyFill="1" applyBorder="1" applyAlignment="1" applyProtection="1">
      <alignment horizontal="center" vertical="center" wrapText="1"/>
    </xf>
    <xf numFmtId="44" fontId="20" fillId="7" borderId="40" xfId="5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/>
    </xf>
    <xf numFmtId="44" fontId="21" fillId="7" borderId="45" xfId="5" applyFont="1" applyFill="1" applyBorder="1" applyAlignment="1" applyProtection="1">
      <alignment vertical="center"/>
    </xf>
    <xf numFmtId="2" fontId="2" fillId="7" borderId="0" xfId="4" applyNumberFormat="1" applyFont="1" applyFill="1" applyProtection="1"/>
    <xf numFmtId="2" fontId="8" fillId="7" borderId="0" xfId="3" applyNumberFormat="1" applyFill="1" applyBorder="1" applyAlignment="1" applyProtection="1">
      <alignment horizontal="left"/>
    </xf>
    <xf numFmtId="2" fontId="8" fillId="7" borderId="39" xfId="3" applyNumberFormat="1" applyFill="1" applyBorder="1" applyAlignment="1" applyProtection="1">
      <alignment horizontal="left"/>
    </xf>
    <xf numFmtId="2" fontId="25" fillId="7" borderId="42" xfId="3" applyNumberFormat="1" applyFont="1" applyFill="1" applyBorder="1" applyAlignment="1" applyProtection="1">
      <alignment horizontal="right"/>
    </xf>
    <xf numFmtId="2" fontId="21" fillId="7" borderId="34" xfId="3" applyNumberFormat="1" applyFont="1" applyFill="1" applyBorder="1" applyAlignment="1" applyProtection="1">
      <alignment horizontal="left"/>
    </xf>
    <xf numFmtId="44" fontId="25" fillId="7" borderId="36" xfId="5" applyFont="1" applyFill="1" applyBorder="1" applyAlignment="1" applyProtection="1">
      <alignment horizontal="center"/>
    </xf>
    <xf numFmtId="0" fontId="2" fillId="7" borderId="13" xfId="4" applyFont="1" applyFill="1" applyBorder="1" applyProtection="1"/>
    <xf numFmtId="168" fontId="7" fillId="7" borderId="13" xfId="0" applyNumberFormat="1" applyFont="1" applyFill="1" applyBorder="1" applyProtection="1"/>
    <xf numFmtId="0" fontId="2" fillId="7" borderId="5" xfId="4" applyFont="1" applyFill="1" applyBorder="1" applyProtection="1"/>
    <xf numFmtId="168" fontId="2" fillId="7" borderId="5" xfId="0" applyNumberFormat="1" applyFont="1" applyFill="1" applyBorder="1" applyProtection="1"/>
    <xf numFmtId="10" fontId="38" fillId="7" borderId="5" xfId="4" applyNumberFormat="1" applyFont="1" applyFill="1" applyBorder="1" applyAlignment="1" applyProtection="1">
      <alignment horizontal="center"/>
    </xf>
    <xf numFmtId="166" fontId="3" fillId="7" borderId="7" xfId="2" applyNumberFormat="1" applyFont="1" applyFill="1" applyBorder="1" applyAlignment="1" applyProtection="1"/>
    <xf numFmtId="0" fontId="0" fillId="7" borderId="5" xfId="0" applyFill="1" applyBorder="1" applyProtection="1"/>
    <xf numFmtId="0" fontId="22" fillId="0" borderId="35" xfId="0" applyFont="1" applyFill="1" applyBorder="1" applyAlignment="1" applyProtection="1">
      <alignment horizontal="center"/>
    </xf>
    <xf numFmtId="0" fontId="2" fillId="7" borderId="14" xfId="4" applyFont="1" applyFill="1" applyBorder="1" applyProtection="1"/>
    <xf numFmtId="168" fontId="7" fillId="7" borderId="14" xfId="0" applyNumberFormat="1" applyFont="1" applyFill="1" applyBorder="1" applyProtection="1"/>
    <xf numFmtId="0" fontId="2" fillId="7" borderId="1" xfId="4" applyFont="1" applyFill="1" applyBorder="1" applyAlignment="1" applyProtection="1">
      <alignment horizontal="center"/>
    </xf>
    <xf numFmtId="168" fontId="2" fillId="7" borderId="1" xfId="0" applyNumberFormat="1" applyFont="1" applyFill="1" applyBorder="1" applyProtection="1"/>
    <xf numFmtId="10" fontId="38" fillId="7" borderId="1" xfId="4" applyNumberFormat="1" applyFont="1" applyFill="1" applyBorder="1" applyAlignment="1" applyProtection="1">
      <alignment horizontal="center"/>
    </xf>
    <xf numFmtId="166" fontId="3" fillId="7" borderId="2" xfId="2" applyNumberFormat="1" applyFont="1" applyFill="1" applyBorder="1" applyAlignment="1" applyProtection="1"/>
    <xf numFmtId="0" fontId="0" fillId="7" borderId="1" xfId="0" applyFill="1" applyBorder="1" applyProtection="1"/>
    <xf numFmtId="0" fontId="2" fillId="7" borderId="1" xfId="4" applyFont="1" applyFill="1" applyBorder="1" applyProtection="1"/>
    <xf numFmtId="0" fontId="2" fillId="7" borderId="15" xfId="4" applyFont="1" applyFill="1" applyBorder="1" applyProtection="1"/>
    <xf numFmtId="1" fontId="2" fillId="7" borderId="6" xfId="4" applyNumberFormat="1" applyFont="1" applyFill="1" applyBorder="1" applyProtection="1"/>
    <xf numFmtId="0" fontId="2" fillId="7" borderId="6" xfId="4" applyFont="1" applyFill="1" applyBorder="1" applyProtection="1"/>
    <xf numFmtId="10" fontId="22" fillId="7" borderId="6" xfId="0" applyNumberFormat="1" applyFont="1" applyFill="1" applyBorder="1" applyAlignment="1" applyProtection="1">
      <alignment horizontal="right"/>
    </xf>
    <xf numFmtId="166" fontId="3" fillId="7" borderId="8" xfId="2" applyNumberFormat="1" applyFont="1" applyFill="1" applyBorder="1" applyAlignment="1" applyProtection="1"/>
    <xf numFmtId="0" fontId="2" fillId="7" borderId="6" xfId="4" applyFont="1" applyFill="1" applyBorder="1" applyAlignment="1" applyProtection="1">
      <alignment horizontal="left"/>
    </xf>
    <xf numFmtId="0" fontId="2" fillId="7" borderId="0" xfId="4" applyFont="1" applyFill="1" applyBorder="1" applyProtection="1"/>
    <xf numFmtId="1" fontId="2" fillId="7" borderId="0" xfId="4" applyNumberFormat="1" applyFont="1" applyFill="1" applyBorder="1" applyProtection="1"/>
    <xf numFmtId="10" fontId="22" fillId="7" borderId="0" xfId="0" applyNumberFormat="1" applyFont="1" applyFill="1" applyBorder="1" applyAlignment="1" applyProtection="1">
      <alignment horizontal="right"/>
    </xf>
    <xf numFmtId="166" fontId="3" fillId="7" borderId="0" xfId="2" applyNumberFormat="1" applyFont="1" applyFill="1" applyBorder="1" applyAlignment="1" applyProtection="1"/>
    <xf numFmtId="0" fontId="2" fillId="7" borderId="0" xfId="4" applyFont="1" applyFill="1" applyBorder="1" applyAlignment="1" applyProtection="1">
      <alignment horizontal="left"/>
    </xf>
    <xf numFmtId="166" fontId="40" fillId="7" borderId="0" xfId="2" applyNumberFormat="1" applyFont="1" applyFill="1" applyBorder="1" applyAlignment="1" applyProtection="1">
      <alignment horizontal="right"/>
    </xf>
    <xf numFmtId="171" fontId="17" fillId="0" borderId="0" xfId="9" applyNumberFormat="1" applyFont="1" applyFill="1" applyBorder="1" applyAlignment="1" applyProtection="1">
      <alignment horizontal="center"/>
    </xf>
    <xf numFmtId="171" fontId="17" fillId="0" borderId="0" xfId="9" applyNumberFormat="1" applyFont="1" applyFill="1" applyBorder="1" applyAlignment="1" applyProtection="1">
      <alignment horizontal="left"/>
    </xf>
    <xf numFmtId="9" fontId="23" fillId="3" borderId="25" xfId="6" applyNumberFormat="1" applyFont="1" applyFill="1" applyBorder="1" applyAlignment="1" applyProtection="1">
      <alignment horizontal="center"/>
    </xf>
    <xf numFmtId="166" fontId="40" fillId="7" borderId="45" xfId="2" applyNumberFormat="1" applyFont="1" applyFill="1" applyBorder="1" applyAlignment="1" applyProtection="1">
      <alignment horizontal="right"/>
    </xf>
    <xf numFmtId="0" fontId="43" fillId="16" borderId="11" xfId="0" applyFont="1" applyFill="1" applyBorder="1" applyAlignment="1" applyProtection="1">
      <alignment vertical="center" wrapText="1"/>
    </xf>
    <xf numFmtId="0" fontId="43" fillId="0" borderId="11" xfId="0" applyFont="1" applyBorder="1" applyProtection="1"/>
    <xf numFmtId="0" fontId="2" fillId="8" borderId="0" xfId="0" applyFont="1" applyFill="1" applyProtection="1"/>
    <xf numFmtId="0" fontId="0" fillId="8" borderId="0" xfId="0" applyFill="1" applyProtection="1"/>
    <xf numFmtId="0" fontId="3" fillId="8" borderId="0" xfId="0" applyFont="1" applyFill="1" applyProtection="1"/>
    <xf numFmtId="10" fontId="0" fillId="8" borderId="0" xfId="0" applyNumberFormat="1" applyFill="1" applyProtection="1"/>
    <xf numFmtId="166" fontId="5" fillId="8" borderId="0" xfId="0" applyNumberFormat="1" applyFont="1" applyFill="1" applyProtection="1"/>
    <xf numFmtId="10" fontId="2" fillId="0" borderId="0" xfId="0" applyNumberFormat="1" applyFont="1" applyAlignment="1" applyProtection="1">
      <alignment horizontal="right"/>
    </xf>
    <xf numFmtId="0" fontId="3" fillId="0" borderId="0" xfId="0" applyFont="1" applyProtection="1"/>
    <xf numFmtId="165" fontId="33" fillId="12" borderId="0" xfId="7" applyNumberFormat="1" applyFont="1" applyFill="1" applyBorder="1" applyAlignment="1" applyProtection="1">
      <alignment horizontal="left"/>
    </xf>
    <xf numFmtId="165" fontId="41" fillId="15" borderId="0" xfId="7" applyNumberFormat="1" applyFont="1" applyFill="1" applyBorder="1" applyAlignment="1" applyProtection="1">
      <alignment horizontal="left"/>
    </xf>
    <xf numFmtId="165" fontId="33" fillId="15" borderId="0" xfId="7" applyNumberFormat="1" applyFont="1" applyFill="1" applyBorder="1" applyAlignment="1" applyProtection="1">
      <alignment horizontal="left"/>
    </xf>
    <xf numFmtId="0" fontId="34" fillId="0" borderId="0" xfId="0" applyFont="1" applyProtection="1"/>
    <xf numFmtId="0" fontId="35" fillId="0" borderId="0" xfId="0" applyFont="1" applyFill="1" applyBorder="1" applyProtection="1"/>
    <xf numFmtId="0" fontId="36" fillId="0" borderId="0" xfId="0" applyFont="1" applyFill="1" applyBorder="1" applyProtection="1"/>
    <xf numFmtId="4" fontId="36" fillId="0" borderId="0" xfId="0" applyNumberFormat="1" applyFont="1" applyFill="1" applyBorder="1" applyProtection="1"/>
    <xf numFmtId="0" fontId="35" fillId="0" borderId="0" xfId="0" applyFont="1" applyBorder="1" applyProtection="1"/>
    <xf numFmtId="0" fontId="35" fillId="0" borderId="0" xfId="0" applyFont="1" applyProtection="1"/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5" fillId="0" borderId="0" xfId="0" applyFont="1" applyFill="1" applyProtection="1"/>
    <xf numFmtId="0" fontId="0" fillId="0" borderId="0" xfId="0" applyFill="1" applyProtection="1"/>
    <xf numFmtId="0" fontId="25" fillId="3" borderId="44" xfId="0" applyFont="1" applyFill="1" applyBorder="1" applyAlignment="1" applyProtection="1">
      <alignment horizontal="center" vertical="center"/>
    </xf>
    <xf numFmtId="166" fontId="2" fillId="0" borderId="0" xfId="0" applyNumberFormat="1" applyFont="1" applyBorder="1" applyProtection="1">
      <protection hidden="1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43" xfId="0" applyFont="1" applyFill="1" applyBorder="1" applyAlignment="1" applyProtection="1">
      <alignment horizontal="center" vertical="center" wrapText="1"/>
    </xf>
    <xf numFmtId="0" fontId="25" fillId="3" borderId="10" xfId="0" applyFont="1" applyFill="1" applyBorder="1" applyAlignment="1" applyProtection="1">
      <alignment horizontal="center" vertical="center" wrapText="1"/>
    </xf>
    <xf numFmtId="0" fontId="32" fillId="10" borderId="33" xfId="8" applyFont="1" applyBorder="1" applyAlignment="1" applyProtection="1">
      <alignment horizontal="center" vertical="center" wrapText="1"/>
      <protection locked="0"/>
    </xf>
    <xf numFmtId="0" fontId="6" fillId="11" borderId="32" xfId="0" applyFont="1" applyFill="1" applyBorder="1" applyProtection="1"/>
    <xf numFmtId="0" fontId="35" fillId="0" borderId="0" xfId="0" applyFont="1" applyAlignment="1" applyProtection="1">
      <alignment horizontal="left" vertical="center"/>
    </xf>
    <xf numFmtId="0" fontId="25" fillId="3" borderId="9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3" fillId="0" borderId="60" xfId="0" quotePrefix="1" applyFont="1" applyFill="1" applyBorder="1" applyAlignment="1" applyProtection="1">
      <alignment horizontal="center"/>
    </xf>
    <xf numFmtId="0" fontId="22" fillId="0" borderId="39" xfId="0" applyFont="1" applyFill="1" applyBorder="1" applyAlignment="1" applyProtection="1">
      <alignment horizontal="center"/>
    </xf>
    <xf numFmtId="0" fontId="22" fillId="0" borderId="55" xfId="0" applyFont="1" applyFill="1" applyBorder="1" applyAlignment="1" applyProtection="1">
      <alignment horizontal="center"/>
    </xf>
    <xf numFmtId="0" fontId="2" fillId="0" borderId="58" xfId="0" applyFont="1" applyBorder="1" applyProtection="1"/>
    <xf numFmtId="0" fontId="18" fillId="0" borderId="0" xfId="0" applyFont="1" applyBorder="1" applyProtection="1"/>
    <xf numFmtId="0" fontId="2" fillId="7" borderId="61" xfId="0" applyFont="1" applyFill="1" applyBorder="1" applyProtection="1"/>
    <xf numFmtId="166" fontId="2" fillId="7" borderId="62" xfId="0" applyNumberFormat="1" applyFont="1" applyFill="1" applyBorder="1" applyProtection="1"/>
    <xf numFmtId="2" fontId="3" fillId="7" borderId="62" xfId="0" applyNumberFormat="1" applyFont="1" applyFill="1" applyBorder="1" applyAlignment="1" applyProtection="1">
      <alignment horizontal="right"/>
    </xf>
    <xf numFmtId="0" fontId="3" fillId="7" borderId="62" xfId="0" applyFont="1" applyFill="1" applyBorder="1" applyAlignment="1" applyProtection="1"/>
    <xf numFmtId="2" fontId="3" fillId="7" borderId="62" xfId="2" applyNumberFormat="1" applyFont="1" applyFill="1" applyBorder="1" applyAlignment="1" applyProtection="1">
      <alignment horizontal="right"/>
    </xf>
    <xf numFmtId="0" fontId="2" fillId="7" borderId="62" xfId="0" applyFont="1" applyFill="1" applyBorder="1" applyProtection="1"/>
    <xf numFmtId="0" fontId="2" fillId="7" borderId="63" xfId="0" applyFont="1" applyFill="1" applyBorder="1" applyProtection="1"/>
    <xf numFmtId="0" fontId="2" fillId="3" borderId="34" xfId="0" applyFont="1" applyFill="1" applyBorder="1" applyProtection="1"/>
    <xf numFmtId="0" fontId="2" fillId="3" borderId="34" xfId="0" applyFont="1" applyFill="1" applyBorder="1" applyAlignment="1" applyProtection="1">
      <alignment horizontal="left"/>
    </xf>
    <xf numFmtId="0" fontId="0" fillId="3" borderId="34" xfId="0" applyFill="1" applyBorder="1" applyProtection="1"/>
    <xf numFmtId="2" fontId="24" fillId="3" borderId="32" xfId="6" applyNumberFormat="1" applyFont="1" applyFill="1" applyBorder="1" applyProtection="1">
      <protection hidden="1"/>
    </xf>
    <xf numFmtId="0" fontId="1" fillId="3" borderId="33" xfId="6" applyFill="1" applyBorder="1" applyProtection="1">
      <protection hidden="1"/>
    </xf>
    <xf numFmtId="9" fontId="23" fillId="3" borderId="32" xfId="6" applyNumberFormat="1" applyFont="1" applyFill="1" applyBorder="1" applyAlignment="1" applyProtection="1">
      <alignment horizontal="center"/>
      <protection hidden="1"/>
    </xf>
    <xf numFmtId="2" fontId="24" fillId="3" borderId="33" xfId="6" applyNumberFormat="1" applyFont="1" applyFill="1" applyBorder="1" applyProtection="1">
      <protection hidden="1"/>
    </xf>
    <xf numFmtId="0" fontId="1" fillId="3" borderId="34" xfId="6" applyFill="1" applyBorder="1" applyProtection="1">
      <protection hidden="1"/>
    </xf>
    <xf numFmtId="166" fontId="0" fillId="0" borderId="0" xfId="0" applyNumberFormat="1" applyBorder="1" applyProtection="1">
      <protection hidden="1"/>
    </xf>
    <xf numFmtId="166" fontId="24" fillId="3" borderId="64" xfId="6" applyNumberFormat="1" applyFont="1" applyFill="1" applyBorder="1" applyProtection="1"/>
    <xf numFmtId="9" fontId="23" fillId="3" borderId="41" xfId="6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10" fontId="2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38" xfId="0" applyFont="1" applyFill="1" applyBorder="1" applyProtection="1"/>
    <xf numFmtId="0" fontId="0" fillId="8" borderId="38" xfId="0" applyFill="1" applyBorder="1" applyProtection="1"/>
    <xf numFmtId="10" fontId="2" fillId="8" borderId="38" xfId="0" applyNumberFormat="1" applyFont="1" applyFill="1" applyBorder="1" applyAlignment="1" applyProtection="1">
      <alignment horizontal="right"/>
    </xf>
    <xf numFmtId="166" fontId="5" fillId="8" borderId="29" xfId="0" applyNumberFormat="1" applyFont="1" applyFill="1" applyBorder="1" applyProtection="1"/>
    <xf numFmtId="171" fontId="17" fillId="0" borderId="3" xfId="9" applyNumberFormat="1" applyFont="1" applyFill="1" applyBorder="1" applyAlignment="1" applyProtection="1">
      <alignment horizontal="center"/>
    </xf>
    <xf numFmtId="0" fontId="3" fillId="3" borderId="34" xfId="0" applyFont="1" applyFill="1" applyBorder="1" applyProtection="1"/>
    <xf numFmtId="171" fontId="17" fillId="0" borderId="11" xfId="9" applyNumberFormat="1" applyFont="1" applyFill="1" applyBorder="1" applyAlignment="1" applyProtection="1">
      <alignment horizontal="center" vertical="center" wrapText="1"/>
    </xf>
    <xf numFmtId="166" fontId="2" fillId="7" borderId="65" xfId="0" applyNumberFormat="1" applyFont="1" applyFill="1" applyBorder="1" applyProtection="1"/>
    <xf numFmtId="0" fontId="3" fillId="0" borderId="45" xfId="0" quotePrefix="1" applyFont="1" applyFill="1" applyBorder="1" applyAlignment="1" applyProtection="1">
      <alignment horizontal="center" vertical="center"/>
    </xf>
    <xf numFmtId="0" fontId="2" fillId="7" borderId="59" xfId="4" applyFont="1" applyFill="1" applyBorder="1" applyProtection="1"/>
    <xf numFmtId="168" fontId="7" fillId="7" borderId="59" xfId="0" applyNumberFormat="1" applyFont="1" applyFill="1" applyBorder="1" applyProtection="1"/>
    <xf numFmtId="0" fontId="2" fillId="7" borderId="66" xfId="4" applyFont="1" applyFill="1" applyBorder="1" applyProtection="1"/>
    <xf numFmtId="168" fontId="2" fillId="7" borderId="66" xfId="0" applyNumberFormat="1" applyFont="1" applyFill="1" applyBorder="1" applyProtection="1"/>
    <xf numFmtId="10" fontId="38" fillId="7" borderId="66" xfId="4" applyNumberFormat="1" applyFont="1" applyFill="1" applyBorder="1" applyAlignment="1" applyProtection="1">
      <alignment horizontal="center"/>
    </xf>
    <xf numFmtId="166" fontId="3" fillId="7" borderId="67" xfId="2" applyNumberFormat="1" applyFont="1" applyFill="1" applyBorder="1" applyAlignment="1" applyProtection="1"/>
    <xf numFmtId="0" fontId="0" fillId="7" borderId="66" xfId="0" applyFill="1" applyBorder="1" applyProtection="1"/>
    <xf numFmtId="0" fontId="2" fillId="7" borderId="38" xfId="4" applyFont="1" applyFill="1" applyBorder="1" applyAlignment="1" applyProtection="1">
      <alignment horizontal="center" vertical="center"/>
    </xf>
    <xf numFmtId="166" fontId="3" fillId="7" borderId="3" xfId="2" applyNumberFormat="1" applyFont="1" applyFill="1" applyBorder="1" applyAlignment="1" applyProtection="1">
      <alignment horizontal="right" vertical="center"/>
    </xf>
    <xf numFmtId="171" fontId="17" fillId="0" borderId="3" xfId="9" applyNumberFormat="1" applyFont="1" applyFill="1" applyBorder="1" applyAlignment="1" applyProtection="1">
      <alignment horizontal="center" vertical="center"/>
    </xf>
    <xf numFmtId="166" fontId="40" fillId="7" borderId="45" xfId="2" applyNumberFormat="1" applyFont="1" applyFill="1" applyBorder="1" applyAlignment="1" applyProtection="1">
      <alignment horizontal="center" vertical="center"/>
    </xf>
    <xf numFmtId="2" fontId="21" fillId="7" borderId="0" xfId="3" applyNumberFormat="1" applyFont="1" applyFill="1" applyBorder="1" applyAlignment="1" applyProtection="1">
      <alignment horizontal="center" vertical="center"/>
    </xf>
    <xf numFmtId="2" fontId="25" fillId="7" borderId="35" xfId="3" applyNumberFormat="1" applyFont="1" applyFill="1" applyBorder="1" applyAlignment="1" applyProtection="1">
      <alignment horizontal="right" vertical="center"/>
    </xf>
    <xf numFmtId="44" fontId="25" fillId="7" borderId="35" xfId="5" applyFont="1" applyFill="1" applyBorder="1" applyAlignment="1" applyProtection="1">
      <alignment horizontal="center" vertical="center"/>
    </xf>
    <xf numFmtId="9" fontId="47" fillId="3" borderId="34" xfId="0" applyNumberFormat="1" applyFont="1" applyFill="1" applyBorder="1" applyAlignment="1" applyProtection="1">
      <alignment horizontal="center" vertical="center"/>
    </xf>
    <xf numFmtId="166" fontId="47" fillId="3" borderId="34" xfId="0" applyNumberFormat="1" applyFont="1" applyFill="1" applyBorder="1" applyAlignment="1" applyProtection="1">
      <alignment vertical="center"/>
    </xf>
    <xf numFmtId="172" fontId="20" fillId="0" borderId="11" xfId="7" applyNumberFormat="1" applyFont="1" applyFill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/>
    </xf>
    <xf numFmtId="0" fontId="32" fillId="0" borderId="0" xfId="8" applyFont="1" applyFill="1" applyBorder="1" applyAlignment="1" applyProtection="1">
      <alignment horizontal="center" vertical="center" wrapText="1"/>
      <protection locked="0"/>
    </xf>
    <xf numFmtId="44" fontId="20" fillId="0" borderId="0" xfId="5" applyFont="1" applyFill="1" applyBorder="1" applyAlignment="1" applyProtection="1">
      <alignment horizontal="left" vertical="center"/>
      <protection locked="0"/>
    </xf>
    <xf numFmtId="44" fontId="21" fillId="0" borderId="0" xfId="5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2" fontId="25" fillId="0" borderId="0" xfId="3" applyNumberFormat="1" applyFont="1" applyFill="1" applyBorder="1" applyAlignment="1" applyProtection="1">
      <alignment horizontal="center"/>
    </xf>
    <xf numFmtId="2" fontId="21" fillId="0" borderId="0" xfId="3" applyNumberFormat="1" applyFont="1" applyFill="1" applyBorder="1" applyAlignment="1" applyProtection="1">
      <alignment horizontal="center"/>
    </xf>
    <xf numFmtId="44" fontId="25" fillId="0" borderId="0" xfId="5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171" fontId="0" fillId="0" borderId="0" xfId="0" applyNumberForma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locked="0"/>
    </xf>
    <xf numFmtId="0" fontId="31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44" fontId="2" fillId="0" borderId="0" xfId="5" applyFont="1" applyFill="1" applyBorder="1" applyAlignment="1" applyProtection="1">
      <alignment vertical="center"/>
    </xf>
    <xf numFmtId="0" fontId="2" fillId="0" borderId="0" xfId="0" applyFont="1" applyFill="1" applyBorder="1"/>
    <xf numFmtId="171" fontId="17" fillId="0" borderId="68" xfId="9" applyNumberFormat="1" applyFont="1" applyFill="1" applyBorder="1" applyAlignment="1" applyProtection="1">
      <alignment horizontal="center" vertical="center"/>
    </xf>
    <xf numFmtId="171" fontId="17" fillId="0" borderId="11" xfId="9" applyNumberFormat="1" applyFont="1" applyFill="1" applyBorder="1" applyAlignment="1" applyProtection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2" fillId="0" borderId="3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9" fillId="3" borderId="11" xfId="0" quotePrefix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/>
    <xf numFmtId="10" fontId="21" fillId="0" borderId="0" xfId="0" applyNumberFormat="1" applyFont="1" applyFill="1" applyAlignment="1">
      <alignment horizontal="center" wrapText="1"/>
    </xf>
    <xf numFmtId="0" fontId="49" fillId="3" borderId="11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center" vertical="center" wrapText="1"/>
    </xf>
    <xf numFmtId="170" fontId="6" fillId="0" borderId="71" xfId="0" applyNumberFormat="1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170" fontId="6" fillId="0" borderId="11" xfId="0" applyNumberFormat="1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169" fontId="6" fillId="0" borderId="26" xfId="0" applyNumberFormat="1" applyFont="1" applyFill="1" applyBorder="1" applyAlignment="1">
      <alignment horizont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73" xfId="0" applyFont="1" applyFill="1" applyBorder="1" applyAlignment="1">
      <alignment horizontal="left" vertical="center" wrapText="1"/>
    </xf>
    <xf numFmtId="0" fontId="4" fillId="14" borderId="74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4" fillId="14" borderId="7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/>
    </xf>
    <xf numFmtId="0" fontId="4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0" fillId="0" borderId="0" xfId="0" applyNumberFormat="1" applyFill="1" applyBorder="1"/>
    <xf numFmtId="0" fontId="5" fillId="11" borderId="32" xfId="0" applyFont="1" applyFill="1" applyBorder="1" applyProtection="1"/>
    <xf numFmtId="0" fontId="5" fillId="11" borderId="33" xfId="0" applyFont="1" applyFill="1" applyBorder="1" applyProtection="1"/>
    <xf numFmtId="0" fontId="6" fillId="11" borderId="31" xfId="0" applyFont="1" applyFill="1" applyBorder="1" applyProtection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 wrapText="1"/>
    </xf>
    <xf numFmtId="0" fontId="4" fillId="14" borderId="72" xfId="0" applyFont="1" applyFill="1" applyBorder="1" applyAlignment="1">
      <alignment horizontal="left" vertic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0" xfId="0" applyFont="1" applyFill="1" applyBorder="1" applyAlignment="1">
      <alignment horizontal="left" vertical="center" wrapText="1"/>
    </xf>
    <xf numFmtId="0" fontId="4" fillId="14" borderId="75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25" fillId="3" borderId="41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</xf>
    <xf numFmtId="0" fontId="31" fillId="2" borderId="48" xfId="3" applyFont="1" applyBorder="1" applyAlignment="1" applyProtection="1">
      <alignment horizontal="left" vertical="center" wrapText="1"/>
      <protection locked="0"/>
    </xf>
    <xf numFmtId="0" fontId="31" fillId="2" borderId="46" xfId="3" applyFont="1" applyBorder="1" applyAlignment="1" applyProtection="1">
      <alignment horizontal="left" vertical="center" wrapText="1"/>
      <protection locked="0"/>
    </xf>
    <xf numFmtId="0" fontId="31" fillId="2" borderId="47" xfId="3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31" fillId="2" borderId="32" xfId="3" applyFont="1" applyBorder="1" applyAlignment="1" applyProtection="1">
      <alignment horizontal="center" vertical="center" wrapText="1"/>
      <protection locked="0"/>
    </xf>
    <xf numFmtId="0" fontId="31" fillId="2" borderId="33" xfId="3" applyFont="1" applyBorder="1" applyAlignment="1" applyProtection="1">
      <alignment horizontal="center" vertical="center" wrapText="1"/>
      <protection locked="0"/>
    </xf>
    <xf numFmtId="0" fontId="31" fillId="2" borderId="31" xfId="3" applyFont="1" applyBorder="1" applyAlignment="1" applyProtection="1">
      <alignment horizontal="center" vertical="center" wrapText="1"/>
      <protection locked="0"/>
    </xf>
    <xf numFmtId="0" fontId="31" fillId="2" borderId="32" xfId="3" applyFont="1" applyBorder="1" applyAlignment="1" applyProtection="1">
      <alignment horizontal="left" vertical="center" wrapText="1"/>
      <protection locked="0"/>
    </xf>
    <xf numFmtId="0" fontId="31" fillId="2" borderId="33" xfId="3" applyFont="1" applyBorder="1" applyAlignment="1" applyProtection="1">
      <alignment horizontal="left" vertical="center" wrapText="1"/>
      <protection locked="0"/>
    </xf>
    <xf numFmtId="0" fontId="31" fillId="2" borderId="31" xfId="3" applyFont="1" applyBorder="1" applyAlignment="1" applyProtection="1">
      <alignment horizontal="left" vertical="center" wrapText="1"/>
      <protection locked="0"/>
    </xf>
    <xf numFmtId="2" fontId="24" fillId="15" borderId="42" xfId="6" applyNumberFormat="1" applyFont="1" applyFill="1" applyBorder="1" applyAlignment="1" applyProtection="1">
      <alignment horizontal="left"/>
      <protection locked="0"/>
    </xf>
    <xf numFmtId="2" fontId="24" fillId="15" borderId="34" xfId="6" applyNumberFormat="1" applyFont="1" applyFill="1" applyBorder="1" applyAlignment="1" applyProtection="1">
      <alignment horizontal="left"/>
      <protection locked="0"/>
    </xf>
    <xf numFmtId="2" fontId="24" fillId="15" borderId="56" xfId="6" applyNumberFormat="1" applyFont="1" applyFill="1" applyBorder="1" applyAlignment="1" applyProtection="1">
      <alignment horizontal="left"/>
      <protection locked="0"/>
    </xf>
    <xf numFmtId="0" fontId="35" fillId="0" borderId="0" xfId="0" applyFont="1" applyAlignment="1" applyProtection="1">
      <alignment horizontal="left" vertical="center"/>
    </xf>
    <xf numFmtId="2" fontId="24" fillId="3" borderId="41" xfId="6" applyNumberFormat="1" applyFont="1" applyFill="1" applyBorder="1" applyAlignment="1" applyProtection="1">
      <alignment horizontal="left" vertical="top"/>
      <protection hidden="1"/>
    </xf>
    <xf numFmtId="2" fontId="24" fillId="3" borderId="10" xfId="6" applyNumberFormat="1" applyFont="1" applyFill="1" applyBorder="1" applyAlignment="1" applyProtection="1">
      <alignment horizontal="left" vertical="top"/>
      <protection hidden="1"/>
    </xf>
    <xf numFmtId="2" fontId="24" fillId="3" borderId="9" xfId="6" applyNumberFormat="1" applyFont="1" applyFill="1" applyBorder="1" applyAlignment="1" applyProtection="1">
      <alignment horizontal="left" vertical="top"/>
      <protection hidden="1"/>
    </xf>
    <xf numFmtId="0" fontId="21" fillId="0" borderId="32" xfId="0" applyFont="1" applyBorder="1" applyAlignment="1" applyProtection="1">
      <alignment horizontal="center"/>
    </xf>
    <xf numFmtId="0" fontId="21" fillId="0" borderId="33" xfId="0" applyFont="1" applyBorder="1" applyAlignment="1" applyProtection="1">
      <alignment horizontal="center"/>
    </xf>
    <xf numFmtId="0" fontId="21" fillId="0" borderId="31" xfId="0" applyFont="1" applyBorder="1" applyAlignment="1" applyProtection="1">
      <alignment horizontal="center"/>
    </xf>
    <xf numFmtId="2" fontId="24" fillId="3" borderId="32" xfId="6" applyNumberFormat="1" applyFont="1" applyFill="1" applyBorder="1" applyAlignment="1" applyProtection="1">
      <alignment horizontal="left" vertical="top"/>
      <protection hidden="1"/>
    </xf>
    <xf numFmtId="2" fontId="24" fillId="3" borderId="33" xfId="6" applyNumberFormat="1" applyFont="1" applyFill="1" applyBorder="1" applyAlignment="1" applyProtection="1">
      <alignment horizontal="left" vertical="top"/>
      <protection hidden="1"/>
    </xf>
    <xf numFmtId="2" fontId="45" fillId="3" borderId="32" xfId="6" applyNumberFormat="1" applyFont="1" applyFill="1" applyBorder="1" applyAlignment="1" applyProtection="1">
      <alignment horizontal="center"/>
    </xf>
    <xf numFmtId="2" fontId="45" fillId="3" borderId="33" xfId="6" applyNumberFormat="1" applyFont="1" applyFill="1" applyBorder="1" applyAlignment="1" applyProtection="1">
      <alignment horizontal="center"/>
    </xf>
    <xf numFmtId="0" fontId="31" fillId="2" borderId="0" xfId="3" applyFont="1" applyBorder="1" applyAlignment="1" applyProtection="1">
      <alignment horizontal="left" vertical="center" wrapText="1"/>
    </xf>
    <xf numFmtId="0" fontId="32" fillId="10" borderId="0" xfId="8" applyFont="1" applyBorder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0" fontId="3" fillId="8" borderId="5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3" fillId="7" borderId="32" xfId="4" applyFont="1" applyFill="1" applyBorder="1" applyAlignment="1" applyProtection="1">
      <alignment horizontal="center" vertical="center"/>
    </xf>
    <xf numFmtId="0" fontId="3" fillId="7" borderId="33" xfId="4" applyFont="1" applyFill="1" applyBorder="1" applyAlignment="1" applyProtection="1">
      <alignment horizontal="center" vertical="center"/>
    </xf>
    <xf numFmtId="0" fontId="3" fillId="7" borderId="31" xfId="4" applyFont="1" applyFill="1" applyBorder="1" applyAlignment="1" applyProtection="1">
      <alignment horizontal="center" vertical="center"/>
    </xf>
    <xf numFmtId="0" fontId="25" fillId="0" borderId="0" xfId="4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0" fontId="25" fillId="3" borderId="32" xfId="4" applyFont="1" applyFill="1" applyBorder="1" applyAlignment="1" applyProtection="1">
      <alignment horizontal="center" vertical="center"/>
    </xf>
    <xf numFmtId="0" fontId="25" fillId="3" borderId="33" xfId="4" applyFont="1" applyFill="1" applyBorder="1" applyAlignment="1" applyProtection="1">
      <alignment horizontal="center" vertical="center"/>
    </xf>
    <xf numFmtId="0" fontId="25" fillId="3" borderId="31" xfId="4" applyFont="1" applyFill="1" applyBorder="1" applyAlignment="1" applyProtection="1">
      <alignment horizontal="center" vertical="center"/>
    </xf>
    <xf numFmtId="10" fontId="22" fillId="7" borderId="3" xfId="0" applyNumberFormat="1" applyFont="1" applyFill="1" applyBorder="1" applyAlignment="1" applyProtection="1">
      <alignment horizontal="center" vertical="center"/>
    </xf>
    <xf numFmtId="10" fontId="22" fillId="7" borderId="38" xfId="0" applyNumberFormat="1" applyFont="1" applyFill="1" applyBorder="1" applyAlignment="1" applyProtection="1">
      <alignment horizontal="center" vertical="center"/>
    </xf>
    <xf numFmtId="10" fontId="22" fillId="7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48" fillId="3" borderId="32" xfId="0" applyFont="1" applyFill="1" applyBorder="1" applyAlignment="1" applyProtection="1">
      <alignment horizontal="center" vertical="center"/>
    </xf>
    <xf numFmtId="0" fontId="48" fillId="3" borderId="33" xfId="0" applyFont="1" applyFill="1" applyBorder="1" applyAlignment="1" applyProtection="1">
      <alignment horizontal="center" vertical="center"/>
    </xf>
    <xf numFmtId="0" fontId="48" fillId="3" borderId="31" xfId="0" applyFont="1" applyFill="1" applyBorder="1" applyAlignment="1" applyProtection="1">
      <alignment horizontal="center" vertical="center"/>
    </xf>
    <xf numFmtId="0" fontId="25" fillId="3" borderId="32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1" xfId="0" applyFont="1" applyFill="1" applyBorder="1" applyAlignment="1" applyProtection="1">
      <alignment horizontal="center" vertical="center"/>
    </xf>
  </cellXfs>
  <cellStyles count="10">
    <cellStyle name="20% - Énfasis1" xfId="6" builtinId="30"/>
    <cellStyle name="Bueno" xfId="3" builtinId="26"/>
    <cellStyle name="Euro" xfId="1" xr:uid="{00000000-0005-0000-0000-000002000000}"/>
    <cellStyle name="Incorrecto" xfId="7" builtinId="27"/>
    <cellStyle name="Millares" xfId="2" builtinId="3"/>
    <cellStyle name="Moneda" xfId="5" builtinId="4"/>
    <cellStyle name="Neutral" xfId="8" builtinId="28"/>
    <cellStyle name="Normal" xfId="0" builtinId="0"/>
    <cellStyle name="Normal_HonorariosPLANOS" xfId="4" xr:uid="{00000000-0005-0000-0000-000008000000}"/>
    <cellStyle name="Porcentaje" xfId="9" builtinId="5"/>
  </cellStyles>
  <dxfs count="6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3999755851924192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383189</xdr:colOff>
      <xdr:row>0</xdr:row>
      <xdr:rowOff>0</xdr:rowOff>
    </xdr:from>
    <xdr:to>
      <xdr:col>3</xdr:col>
      <xdr:colOff>167938</xdr:colOff>
      <xdr:row>0</xdr:row>
      <xdr:rowOff>579503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8126A4-EBB4-4133-A687-DDA8A2330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930603" y="0"/>
          <a:ext cx="6318938" cy="57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489057</xdr:colOff>
      <xdr:row>0</xdr:row>
      <xdr:rowOff>54430</xdr:rowOff>
    </xdr:from>
    <xdr:to>
      <xdr:col>7</xdr:col>
      <xdr:colOff>310621</xdr:colOff>
      <xdr:row>3</xdr:row>
      <xdr:rowOff>163286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A71B26-2ED8-469E-83F2-ECFE89AC6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1374322" y="54430"/>
          <a:ext cx="6320975" cy="5795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POINTERV" displayName="TIPOINTERV" ref="F14:G18" totalsRowShown="0" headerRowDxfId="5" dataDxfId="3" headerRowBorderDxfId="4" tableBorderDxfId="2">
  <autoFilter ref="F14:G18" xr:uid="{00000000-0009-0000-0100-000001000000}"/>
  <tableColumns count="2">
    <tableColumn id="1" xr3:uid="{00000000-0010-0000-0000-000001000000}" name="CLASE DE OBRA" dataDxfId="1"/>
    <tableColumn id="2" xr3:uid="{00000000-0010-0000-0000-000002000000}" name="COEF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226"/>
  <sheetViews>
    <sheetView zoomScale="70" zoomScaleNormal="70" workbookViewId="0">
      <selection activeCell="B4" sqref="B4"/>
    </sheetView>
  </sheetViews>
  <sheetFormatPr baseColWidth="10" defaultRowHeight="12.75" x14ac:dyDescent="0.2"/>
  <cols>
    <col min="1" max="1" width="8.28515625" customWidth="1"/>
    <col min="2" max="2" width="63" style="45" customWidth="1"/>
    <col min="3" max="3" width="35" style="2" customWidth="1"/>
    <col min="4" max="4" width="16.140625" style="3" customWidth="1"/>
    <col min="5" max="5" width="7.28515625" customWidth="1"/>
    <col min="6" max="6" width="20.42578125" customWidth="1"/>
    <col min="7" max="7" width="14.42578125" customWidth="1"/>
    <col min="9" max="9" width="14.28515625" bestFit="1" customWidth="1"/>
    <col min="10" max="10" width="16.28515625" customWidth="1"/>
    <col min="175" max="175" width="14.42578125" customWidth="1"/>
    <col min="179" max="179" width="16.85546875" customWidth="1"/>
    <col min="180" max="180" width="9" customWidth="1"/>
    <col min="181" max="181" width="6.140625" customWidth="1"/>
    <col min="182" max="182" width="3.85546875" customWidth="1"/>
    <col min="183" max="183" width="11.7109375" customWidth="1"/>
    <col min="184" max="191" width="0" hidden="1" customWidth="1"/>
    <col min="192" max="192" width="10.140625" customWidth="1"/>
    <col min="193" max="193" width="15.85546875" customWidth="1"/>
    <col min="194" max="194" width="4.140625" customWidth="1"/>
    <col min="195" max="195" width="5.5703125" customWidth="1"/>
    <col min="196" max="196" width="21.7109375" customWidth="1"/>
    <col min="197" max="197" width="14.140625" customWidth="1"/>
    <col min="200" max="201" width="18.7109375" bestFit="1" customWidth="1"/>
    <col min="431" max="431" width="14.42578125" customWidth="1"/>
    <col min="435" max="435" width="16.85546875" customWidth="1"/>
    <col min="436" max="436" width="9" customWidth="1"/>
    <col min="437" max="437" width="6.140625" customWidth="1"/>
    <col min="438" max="438" width="3.85546875" customWidth="1"/>
    <col min="439" max="439" width="11.7109375" customWidth="1"/>
    <col min="440" max="447" width="0" hidden="1" customWidth="1"/>
    <col min="448" max="448" width="10.140625" customWidth="1"/>
    <col min="449" max="449" width="15.85546875" customWidth="1"/>
    <col min="450" max="450" width="4.140625" customWidth="1"/>
    <col min="451" max="451" width="5.5703125" customWidth="1"/>
    <col min="452" max="452" width="21.7109375" customWidth="1"/>
    <col min="453" max="453" width="14.140625" customWidth="1"/>
    <col min="456" max="457" width="18.7109375" bestFit="1" customWidth="1"/>
    <col min="687" max="687" width="14.42578125" customWidth="1"/>
    <col min="691" max="691" width="16.85546875" customWidth="1"/>
    <col min="692" max="692" width="9" customWidth="1"/>
    <col min="693" max="693" width="6.140625" customWidth="1"/>
    <col min="694" max="694" width="3.85546875" customWidth="1"/>
    <col min="695" max="695" width="11.7109375" customWidth="1"/>
    <col min="696" max="703" width="0" hidden="1" customWidth="1"/>
    <col min="704" max="704" width="10.140625" customWidth="1"/>
    <col min="705" max="705" width="15.85546875" customWidth="1"/>
    <col min="706" max="706" width="4.140625" customWidth="1"/>
    <col min="707" max="707" width="5.5703125" customWidth="1"/>
    <col min="708" max="708" width="21.7109375" customWidth="1"/>
    <col min="709" max="709" width="14.140625" customWidth="1"/>
    <col min="712" max="713" width="18.7109375" bestFit="1" customWidth="1"/>
    <col min="943" max="943" width="14.42578125" customWidth="1"/>
    <col min="947" max="947" width="16.85546875" customWidth="1"/>
    <col min="948" max="948" width="9" customWidth="1"/>
    <col min="949" max="949" width="6.140625" customWidth="1"/>
    <col min="950" max="950" width="3.85546875" customWidth="1"/>
    <col min="951" max="951" width="11.7109375" customWidth="1"/>
    <col min="952" max="959" width="0" hidden="1" customWidth="1"/>
    <col min="960" max="960" width="10.140625" customWidth="1"/>
    <col min="961" max="961" width="15.85546875" customWidth="1"/>
    <col min="962" max="962" width="4.140625" customWidth="1"/>
    <col min="963" max="963" width="5.5703125" customWidth="1"/>
    <col min="964" max="964" width="21.7109375" customWidth="1"/>
    <col min="965" max="965" width="14.140625" customWidth="1"/>
    <col min="968" max="969" width="18.7109375" bestFit="1" customWidth="1"/>
    <col min="1199" max="1199" width="14.42578125" customWidth="1"/>
    <col min="1203" max="1203" width="16.85546875" customWidth="1"/>
    <col min="1204" max="1204" width="9" customWidth="1"/>
    <col min="1205" max="1205" width="6.140625" customWidth="1"/>
    <col min="1206" max="1206" width="3.85546875" customWidth="1"/>
    <col min="1207" max="1207" width="11.7109375" customWidth="1"/>
    <col min="1208" max="1215" width="0" hidden="1" customWidth="1"/>
    <col min="1216" max="1216" width="10.140625" customWidth="1"/>
    <col min="1217" max="1217" width="15.85546875" customWidth="1"/>
    <col min="1218" max="1218" width="4.140625" customWidth="1"/>
    <col min="1219" max="1219" width="5.5703125" customWidth="1"/>
    <col min="1220" max="1220" width="21.7109375" customWidth="1"/>
    <col min="1221" max="1221" width="14.140625" customWidth="1"/>
    <col min="1224" max="1225" width="18.7109375" bestFit="1" customWidth="1"/>
    <col min="1455" max="1455" width="14.42578125" customWidth="1"/>
    <col min="1459" max="1459" width="16.85546875" customWidth="1"/>
    <col min="1460" max="1460" width="9" customWidth="1"/>
    <col min="1461" max="1461" width="6.140625" customWidth="1"/>
    <col min="1462" max="1462" width="3.85546875" customWidth="1"/>
    <col min="1463" max="1463" width="11.7109375" customWidth="1"/>
    <col min="1464" max="1471" width="0" hidden="1" customWidth="1"/>
    <col min="1472" max="1472" width="10.140625" customWidth="1"/>
    <col min="1473" max="1473" width="15.85546875" customWidth="1"/>
    <col min="1474" max="1474" width="4.140625" customWidth="1"/>
    <col min="1475" max="1475" width="5.5703125" customWidth="1"/>
    <col min="1476" max="1476" width="21.7109375" customWidth="1"/>
    <col min="1477" max="1477" width="14.140625" customWidth="1"/>
    <col min="1480" max="1481" width="18.7109375" bestFit="1" customWidth="1"/>
    <col min="1711" max="1711" width="14.42578125" customWidth="1"/>
    <col min="1715" max="1715" width="16.85546875" customWidth="1"/>
    <col min="1716" max="1716" width="9" customWidth="1"/>
    <col min="1717" max="1717" width="6.140625" customWidth="1"/>
    <col min="1718" max="1718" width="3.85546875" customWidth="1"/>
    <col min="1719" max="1719" width="11.7109375" customWidth="1"/>
    <col min="1720" max="1727" width="0" hidden="1" customWidth="1"/>
    <col min="1728" max="1728" width="10.140625" customWidth="1"/>
    <col min="1729" max="1729" width="15.85546875" customWidth="1"/>
    <col min="1730" max="1730" width="4.140625" customWidth="1"/>
    <col min="1731" max="1731" width="5.5703125" customWidth="1"/>
    <col min="1732" max="1732" width="21.7109375" customWidth="1"/>
    <col min="1733" max="1733" width="14.140625" customWidth="1"/>
    <col min="1736" max="1737" width="18.7109375" bestFit="1" customWidth="1"/>
    <col min="1967" max="1967" width="14.42578125" customWidth="1"/>
    <col min="1971" max="1971" width="16.85546875" customWidth="1"/>
    <col min="1972" max="1972" width="9" customWidth="1"/>
    <col min="1973" max="1973" width="6.140625" customWidth="1"/>
    <col min="1974" max="1974" width="3.85546875" customWidth="1"/>
    <col min="1975" max="1975" width="11.7109375" customWidth="1"/>
    <col min="1976" max="1983" width="0" hidden="1" customWidth="1"/>
    <col min="1984" max="1984" width="10.140625" customWidth="1"/>
    <col min="1985" max="1985" width="15.85546875" customWidth="1"/>
    <col min="1986" max="1986" width="4.140625" customWidth="1"/>
    <col min="1987" max="1987" width="5.5703125" customWidth="1"/>
    <col min="1988" max="1988" width="21.7109375" customWidth="1"/>
    <col min="1989" max="1989" width="14.140625" customWidth="1"/>
    <col min="1992" max="1993" width="18.7109375" bestFit="1" customWidth="1"/>
    <col min="2223" max="2223" width="14.42578125" customWidth="1"/>
    <col min="2227" max="2227" width="16.85546875" customWidth="1"/>
    <col min="2228" max="2228" width="9" customWidth="1"/>
    <col min="2229" max="2229" width="6.140625" customWidth="1"/>
    <col min="2230" max="2230" width="3.85546875" customWidth="1"/>
    <col min="2231" max="2231" width="11.7109375" customWidth="1"/>
    <col min="2232" max="2239" width="0" hidden="1" customWidth="1"/>
    <col min="2240" max="2240" width="10.140625" customWidth="1"/>
    <col min="2241" max="2241" width="15.85546875" customWidth="1"/>
    <col min="2242" max="2242" width="4.140625" customWidth="1"/>
    <col min="2243" max="2243" width="5.5703125" customWidth="1"/>
    <col min="2244" max="2244" width="21.7109375" customWidth="1"/>
    <col min="2245" max="2245" width="14.140625" customWidth="1"/>
    <col min="2248" max="2249" width="18.7109375" bestFit="1" customWidth="1"/>
    <col min="2479" max="2479" width="14.42578125" customWidth="1"/>
    <col min="2483" max="2483" width="16.85546875" customWidth="1"/>
    <col min="2484" max="2484" width="9" customWidth="1"/>
    <col min="2485" max="2485" width="6.140625" customWidth="1"/>
    <col min="2486" max="2486" width="3.85546875" customWidth="1"/>
    <col min="2487" max="2487" width="11.7109375" customWidth="1"/>
    <col min="2488" max="2495" width="0" hidden="1" customWidth="1"/>
    <col min="2496" max="2496" width="10.140625" customWidth="1"/>
    <col min="2497" max="2497" width="15.85546875" customWidth="1"/>
    <col min="2498" max="2498" width="4.140625" customWidth="1"/>
    <col min="2499" max="2499" width="5.5703125" customWidth="1"/>
    <col min="2500" max="2500" width="21.7109375" customWidth="1"/>
    <col min="2501" max="2501" width="14.140625" customWidth="1"/>
    <col min="2504" max="2505" width="18.7109375" bestFit="1" customWidth="1"/>
    <col min="2735" max="2735" width="14.42578125" customWidth="1"/>
    <col min="2739" max="2739" width="16.85546875" customWidth="1"/>
    <col min="2740" max="2740" width="9" customWidth="1"/>
    <col min="2741" max="2741" width="6.140625" customWidth="1"/>
    <col min="2742" max="2742" width="3.85546875" customWidth="1"/>
    <col min="2743" max="2743" width="11.7109375" customWidth="1"/>
    <col min="2744" max="2751" width="0" hidden="1" customWidth="1"/>
    <col min="2752" max="2752" width="10.140625" customWidth="1"/>
    <col min="2753" max="2753" width="15.85546875" customWidth="1"/>
    <col min="2754" max="2754" width="4.140625" customWidth="1"/>
    <col min="2755" max="2755" width="5.5703125" customWidth="1"/>
    <col min="2756" max="2756" width="21.7109375" customWidth="1"/>
    <col min="2757" max="2757" width="14.140625" customWidth="1"/>
    <col min="2760" max="2761" width="18.7109375" bestFit="1" customWidth="1"/>
    <col min="2991" max="2991" width="14.42578125" customWidth="1"/>
    <col min="2995" max="2995" width="16.85546875" customWidth="1"/>
    <col min="2996" max="2996" width="9" customWidth="1"/>
    <col min="2997" max="2997" width="6.140625" customWidth="1"/>
    <col min="2998" max="2998" width="3.85546875" customWidth="1"/>
    <col min="2999" max="2999" width="11.7109375" customWidth="1"/>
    <col min="3000" max="3007" width="0" hidden="1" customWidth="1"/>
    <col min="3008" max="3008" width="10.140625" customWidth="1"/>
    <col min="3009" max="3009" width="15.85546875" customWidth="1"/>
    <col min="3010" max="3010" width="4.140625" customWidth="1"/>
    <col min="3011" max="3011" width="5.5703125" customWidth="1"/>
    <col min="3012" max="3012" width="21.7109375" customWidth="1"/>
    <col min="3013" max="3013" width="14.140625" customWidth="1"/>
    <col min="3016" max="3017" width="18.7109375" bestFit="1" customWidth="1"/>
    <col min="3247" max="3247" width="14.42578125" customWidth="1"/>
    <col min="3251" max="3251" width="16.85546875" customWidth="1"/>
    <col min="3252" max="3252" width="9" customWidth="1"/>
    <col min="3253" max="3253" width="6.140625" customWidth="1"/>
    <col min="3254" max="3254" width="3.85546875" customWidth="1"/>
    <col min="3255" max="3255" width="11.7109375" customWidth="1"/>
    <col min="3256" max="3263" width="0" hidden="1" customWidth="1"/>
    <col min="3264" max="3264" width="10.140625" customWidth="1"/>
    <col min="3265" max="3265" width="15.85546875" customWidth="1"/>
    <col min="3266" max="3266" width="4.140625" customWidth="1"/>
    <col min="3267" max="3267" width="5.5703125" customWidth="1"/>
    <col min="3268" max="3268" width="21.7109375" customWidth="1"/>
    <col min="3269" max="3269" width="14.140625" customWidth="1"/>
    <col min="3272" max="3273" width="18.7109375" bestFit="1" customWidth="1"/>
    <col min="3503" max="3503" width="14.42578125" customWidth="1"/>
    <col min="3507" max="3507" width="16.85546875" customWidth="1"/>
    <col min="3508" max="3508" width="9" customWidth="1"/>
    <col min="3509" max="3509" width="6.140625" customWidth="1"/>
    <col min="3510" max="3510" width="3.85546875" customWidth="1"/>
    <col min="3511" max="3511" width="11.7109375" customWidth="1"/>
    <col min="3512" max="3519" width="0" hidden="1" customWidth="1"/>
    <col min="3520" max="3520" width="10.140625" customWidth="1"/>
    <col min="3521" max="3521" width="15.85546875" customWidth="1"/>
    <col min="3522" max="3522" width="4.140625" customWidth="1"/>
    <col min="3523" max="3523" width="5.5703125" customWidth="1"/>
    <col min="3524" max="3524" width="21.7109375" customWidth="1"/>
    <col min="3525" max="3525" width="14.140625" customWidth="1"/>
    <col min="3528" max="3529" width="18.7109375" bestFit="1" customWidth="1"/>
    <col min="3759" max="3759" width="14.42578125" customWidth="1"/>
    <col min="3763" max="3763" width="16.85546875" customWidth="1"/>
    <col min="3764" max="3764" width="9" customWidth="1"/>
    <col min="3765" max="3765" width="6.140625" customWidth="1"/>
    <col min="3766" max="3766" width="3.85546875" customWidth="1"/>
    <col min="3767" max="3767" width="11.7109375" customWidth="1"/>
    <col min="3768" max="3775" width="0" hidden="1" customWidth="1"/>
    <col min="3776" max="3776" width="10.140625" customWidth="1"/>
    <col min="3777" max="3777" width="15.85546875" customWidth="1"/>
    <col min="3778" max="3778" width="4.140625" customWidth="1"/>
    <col min="3779" max="3779" width="5.5703125" customWidth="1"/>
    <col min="3780" max="3780" width="21.7109375" customWidth="1"/>
    <col min="3781" max="3781" width="14.140625" customWidth="1"/>
    <col min="3784" max="3785" width="18.7109375" bestFit="1" customWidth="1"/>
    <col min="4015" max="4015" width="14.42578125" customWidth="1"/>
    <col min="4019" max="4019" width="16.85546875" customWidth="1"/>
    <col min="4020" max="4020" width="9" customWidth="1"/>
    <col min="4021" max="4021" width="6.140625" customWidth="1"/>
    <col min="4022" max="4022" width="3.85546875" customWidth="1"/>
    <col min="4023" max="4023" width="11.7109375" customWidth="1"/>
    <col min="4024" max="4031" width="0" hidden="1" customWidth="1"/>
    <col min="4032" max="4032" width="10.140625" customWidth="1"/>
    <col min="4033" max="4033" width="15.85546875" customWidth="1"/>
    <col min="4034" max="4034" width="4.140625" customWidth="1"/>
    <col min="4035" max="4035" width="5.5703125" customWidth="1"/>
    <col min="4036" max="4036" width="21.7109375" customWidth="1"/>
    <col min="4037" max="4037" width="14.140625" customWidth="1"/>
    <col min="4040" max="4041" width="18.7109375" bestFit="1" customWidth="1"/>
    <col min="4271" max="4271" width="14.42578125" customWidth="1"/>
    <col min="4275" max="4275" width="16.85546875" customWidth="1"/>
    <col min="4276" max="4276" width="9" customWidth="1"/>
    <col min="4277" max="4277" width="6.140625" customWidth="1"/>
    <col min="4278" max="4278" width="3.85546875" customWidth="1"/>
    <col min="4279" max="4279" width="11.7109375" customWidth="1"/>
    <col min="4280" max="4287" width="0" hidden="1" customWidth="1"/>
    <col min="4288" max="4288" width="10.140625" customWidth="1"/>
    <col min="4289" max="4289" width="15.85546875" customWidth="1"/>
    <col min="4290" max="4290" width="4.140625" customWidth="1"/>
    <col min="4291" max="4291" width="5.5703125" customWidth="1"/>
    <col min="4292" max="4292" width="21.7109375" customWidth="1"/>
    <col min="4293" max="4293" width="14.140625" customWidth="1"/>
    <col min="4296" max="4297" width="18.7109375" bestFit="1" customWidth="1"/>
    <col min="4527" max="4527" width="14.42578125" customWidth="1"/>
    <col min="4531" max="4531" width="16.85546875" customWidth="1"/>
    <col min="4532" max="4532" width="9" customWidth="1"/>
    <col min="4533" max="4533" width="6.140625" customWidth="1"/>
    <col min="4534" max="4534" width="3.85546875" customWidth="1"/>
    <col min="4535" max="4535" width="11.7109375" customWidth="1"/>
    <col min="4536" max="4543" width="0" hidden="1" customWidth="1"/>
    <col min="4544" max="4544" width="10.140625" customWidth="1"/>
    <col min="4545" max="4545" width="15.85546875" customWidth="1"/>
    <col min="4546" max="4546" width="4.140625" customWidth="1"/>
    <col min="4547" max="4547" width="5.5703125" customWidth="1"/>
    <col min="4548" max="4548" width="21.7109375" customWidth="1"/>
    <col min="4549" max="4549" width="14.140625" customWidth="1"/>
    <col min="4552" max="4553" width="18.7109375" bestFit="1" customWidth="1"/>
    <col min="4783" max="4783" width="14.42578125" customWidth="1"/>
    <col min="4787" max="4787" width="16.85546875" customWidth="1"/>
    <col min="4788" max="4788" width="9" customWidth="1"/>
    <col min="4789" max="4789" width="6.140625" customWidth="1"/>
    <col min="4790" max="4790" width="3.85546875" customWidth="1"/>
    <col min="4791" max="4791" width="11.7109375" customWidth="1"/>
    <col min="4792" max="4799" width="0" hidden="1" customWidth="1"/>
    <col min="4800" max="4800" width="10.140625" customWidth="1"/>
    <col min="4801" max="4801" width="15.85546875" customWidth="1"/>
    <col min="4802" max="4802" width="4.140625" customWidth="1"/>
    <col min="4803" max="4803" width="5.5703125" customWidth="1"/>
    <col min="4804" max="4804" width="21.7109375" customWidth="1"/>
    <col min="4805" max="4805" width="14.140625" customWidth="1"/>
    <col min="4808" max="4809" width="18.7109375" bestFit="1" customWidth="1"/>
    <col min="5039" max="5039" width="14.42578125" customWidth="1"/>
    <col min="5043" max="5043" width="16.85546875" customWidth="1"/>
    <col min="5044" max="5044" width="9" customWidth="1"/>
    <col min="5045" max="5045" width="6.140625" customWidth="1"/>
    <col min="5046" max="5046" width="3.85546875" customWidth="1"/>
    <col min="5047" max="5047" width="11.7109375" customWidth="1"/>
    <col min="5048" max="5055" width="0" hidden="1" customWidth="1"/>
    <col min="5056" max="5056" width="10.140625" customWidth="1"/>
    <col min="5057" max="5057" width="15.85546875" customWidth="1"/>
    <col min="5058" max="5058" width="4.140625" customWidth="1"/>
    <col min="5059" max="5059" width="5.5703125" customWidth="1"/>
    <col min="5060" max="5060" width="21.7109375" customWidth="1"/>
    <col min="5061" max="5061" width="14.140625" customWidth="1"/>
    <col min="5064" max="5065" width="18.7109375" bestFit="1" customWidth="1"/>
    <col min="5295" max="5295" width="14.42578125" customWidth="1"/>
    <col min="5299" max="5299" width="16.85546875" customWidth="1"/>
    <col min="5300" max="5300" width="9" customWidth="1"/>
    <col min="5301" max="5301" width="6.140625" customWidth="1"/>
    <col min="5302" max="5302" width="3.85546875" customWidth="1"/>
    <col min="5303" max="5303" width="11.7109375" customWidth="1"/>
    <col min="5304" max="5311" width="0" hidden="1" customWidth="1"/>
    <col min="5312" max="5312" width="10.140625" customWidth="1"/>
    <col min="5313" max="5313" width="15.85546875" customWidth="1"/>
    <col min="5314" max="5314" width="4.140625" customWidth="1"/>
    <col min="5315" max="5315" width="5.5703125" customWidth="1"/>
    <col min="5316" max="5316" width="21.7109375" customWidth="1"/>
    <col min="5317" max="5317" width="14.140625" customWidth="1"/>
    <col min="5320" max="5321" width="18.7109375" bestFit="1" customWidth="1"/>
    <col min="5551" max="5551" width="14.42578125" customWidth="1"/>
    <col min="5555" max="5555" width="16.85546875" customWidth="1"/>
    <col min="5556" max="5556" width="9" customWidth="1"/>
    <col min="5557" max="5557" width="6.140625" customWidth="1"/>
    <col min="5558" max="5558" width="3.85546875" customWidth="1"/>
    <col min="5559" max="5559" width="11.7109375" customWidth="1"/>
    <col min="5560" max="5567" width="0" hidden="1" customWidth="1"/>
    <col min="5568" max="5568" width="10.140625" customWidth="1"/>
    <col min="5569" max="5569" width="15.85546875" customWidth="1"/>
    <col min="5570" max="5570" width="4.140625" customWidth="1"/>
    <col min="5571" max="5571" width="5.5703125" customWidth="1"/>
    <col min="5572" max="5572" width="21.7109375" customWidth="1"/>
    <col min="5573" max="5573" width="14.140625" customWidth="1"/>
    <col min="5576" max="5577" width="18.7109375" bestFit="1" customWidth="1"/>
    <col min="5807" max="5807" width="14.42578125" customWidth="1"/>
    <col min="5811" max="5811" width="16.85546875" customWidth="1"/>
    <col min="5812" max="5812" width="9" customWidth="1"/>
    <col min="5813" max="5813" width="6.140625" customWidth="1"/>
    <col min="5814" max="5814" width="3.85546875" customWidth="1"/>
    <col min="5815" max="5815" width="11.7109375" customWidth="1"/>
    <col min="5816" max="5823" width="0" hidden="1" customWidth="1"/>
    <col min="5824" max="5824" width="10.140625" customWidth="1"/>
    <col min="5825" max="5825" width="15.85546875" customWidth="1"/>
    <col min="5826" max="5826" width="4.140625" customWidth="1"/>
    <col min="5827" max="5827" width="5.5703125" customWidth="1"/>
    <col min="5828" max="5828" width="21.7109375" customWidth="1"/>
    <col min="5829" max="5829" width="14.140625" customWidth="1"/>
    <col min="5832" max="5833" width="18.7109375" bestFit="1" customWidth="1"/>
    <col min="6063" max="6063" width="14.42578125" customWidth="1"/>
    <col min="6067" max="6067" width="16.85546875" customWidth="1"/>
    <col min="6068" max="6068" width="9" customWidth="1"/>
    <col min="6069" max="6069" width="6.140625" customWidth="1"/>
    <col min="6070" max="6070" width="3.85546875" customWidth="1"/>
    <col min="6071" max="6071" width="11.7109375" customWidth="1"/>
    <col min="6072" max="6079" width="0" hidden="1" customWidth="1"/>
    <col min="6080" max="6080" width="10.140625" customWidth="1"/>
    <col min="6081" max="6081" width="15.85546875" customWidth="1"/>
    <col min="6082" max="6082" width="4.140625" customWidth="1"/>
    <col min="6083" max="6083" width="5.5703125" customWidth="1"/>
    <col min="6084" max="6084" width="21.7109375" customWidth="1"/>
    <col min="6085" max="6085" width="14.140625" customWidth="1"/>
    <col min="6088" max="6089" width="18.7109375" bestFit="1" customWidth="1"/>
    <col min="6319" max="6319" width="14.42578125" customWidth="1"/>
    <col min="6323" max="6323" width="16.85546875" customWidth="1"/>
    <col min="6324" max="6324" width="9" customWidth="1"/>
    <col min="6325" max="6325" width="6.140625" customWidth="1"/>
    <col min="6326" max="6326" width="3.85546875" customWidth="1"/>
    <col min="6327" max="6327" width="11.7109375" customWidth="1"/>
    <col min="6328" max="6335" width="0" hidden="1" customWidth="1"/>
    <col min="6336" max="6336" width="10.140625" customWidth="1"/>
    <col min="6337" max="6337" width="15.85546875" customWidth="1"/>
    <col min="6338" max="6338" width="4.140625" customWidth="1"/>
    <col min="6339" max="6339" width="5.5703125" customWidth="1"/>
    <col min="6340" max="6340" width="21.7109375" customWidth="1"/>
    <col min="6341" max="6341" width="14.140625" customWidth="1"/>
    <col min="6344" max="6345" width="18.7109375" bestFit="1" customWidth="1"/>
    <col min="6575" max="6575" width="14.42578125" customWidth="1"/>
    <col min="6579" max="6579" width="16.85546875" customWidth="1"/>
    <col min="6580" max="6580" width="9" customWidth="1"/>
    <col min="6581" max="6581" width="6.140625" customWidth="1"/>
    <col min="6582" max="6582" width="3.85546875" customWidth="1"/>
    <col min="6583" max="6583" width="11.7109375" customWidth="1"/>
    <col min="6584" max="6591" width="0" hidden="1" customWidth="1"/>
    <col min="6592" max="6592" width="10.140625" customWidth="1"/>
    <col min="6593" max="6593" width="15.85546875" customWidth="1"/>
    <col min="6594" max="6594" width="4.140625" customWidth="1"/>
    <col min="6595" max="6595" width="5.5703125" customWidth="1"/>
    <col min="6596" max="6596" width="21.7109375" customWidth="1"/>
    <col min="6597" max="6597" width="14.140625" customWidth="1"/>
    <col min="6600" max="6601" width="18.7109375" bestFit="1" customWidth="1"/>
    <col min="6831" max="6831" width="14.42578125" customWidth="1"/>
    <col min="6835" max="6835" width="16.85546875" customWidth="1"/>
    <col min="6836" max="6836" width="9" customWidth="1"/>
    <col min="6837" max="6837" width="6.140625" customWidth="1"/>
    <col min="6838" max="6838" width="3.85546875" customWidth="1"/>
    <col min="6839" max="6839" width="11.7109375" customWidth="1"/>
    <col min="6840" max="6847" width="0" hidden="1" customWidth="1"/>
    <col min="6848" max="6848" width="10.140625" customWidth="1"/>
    <col min="6849" max="6849" width="15.85546875" customWidth="1"/>
    <col min="6850" max="6850" width="4.140625" customWidth="1"/>
    <col min="6851" max="6851" width="5.5703125" customWidth="1"/>
    <col min="6852" max="6852" width="21.7109375" customWidth="1"/>
    <col min="6853" max="6853" width="14.140625" customWidth="1"/>
    <col min="6856" max="6857" width="18.7109375" bestFit="1" customWidth="1"/>
    <col min="7087" max="7087" width="14.42578125" customWidth="1"/>
    <col min="7091" max="7091" width="16.85546875" customWidth="1"/>
    <col min="7092" max="7092" width="9" customWidth="1"/>
    <col min="7093" max="7093" width="6.140625" customWidth="1"/>
    <col min="7094" max="7094" width="3.85546875" customWidth="1"/>
    <col min="7095" max="7095" width="11.7109375" customWidth="1"/>
    <col min="7096" max="7103" width="0" hidden="1" customWidth="1"/>
    <col min="7104" max="7104" width="10.140625" customWidth="1"/>
    <col min="7105" max="7105" width="15.85546875" customWidth="1"/>
    <col min="7106" max="7106" width="4.140625" customWidth="1"/>
    <col min="7107" max="7107" width="5.5703125" customWidth="1"/>
    <col min="7108" max="7108" width="21.7109375" customWidth="1"/>
    <col min="7109" max="7109" width="14.140625" customWidth="1"/>
    <col min="7112" max="7113" width="18.7109375" bestFit="1" customWidth="1"/>
    <col min="7343" max="7343" width="14.42578125" customWidth="1"/>
    <col min="7347" max="7347" width="16.85546875" customWidth="1"/>
    <col min="7348" max="7348" width="9" customWidth="1"/>
    <col min="7349" max="7349" width="6.140625" customWidth="1"/>
    <col min="7350" max="7350" width="3.85546875" customWidth="1"/>
    <col min="7351" max="7351" width="11.7109375" customWidth="1"/>
    <col min="7352" max="7359" width="0" hidden="1" customWidth="1"/>
    <col min="7360" max="7360" width="10.140625" customWidth="1"/>
    <col min="7361" max="7361" width="15.85546875" customWidth="1"/>
    <col min="7362" max="7362" width="4.140625" customWidth="1"/>
    <col min="7363" max="7363" width="5.5703125" customWidth="1"/>
    <col min="7364" max="7364" width="21.7109375" customWidth="1"/>
    <col min="7365" max="7365" width="14.140625" customWidth="1"/>
    <col min="7368" max="7369" width="18.7109375" bestFit="1" customWidth="1"/>
    <col min="7599" max="7599" width="14.42578125" customWidth="1"/>
    <col min="7603" max="7603" width="16.85546875" customWidth="1"/>
    <col min="7604" max="7604" width="9" customWidth="1"/>
    <col min="7605" max="7605" width="6.140625" customWidth="1"/>
    <col min="7606" max="7606" width="3.85546875" customWidth="1"/>
    <col min="7607" max="7607" width="11.7109375" customWidth="1"/>
    <col min="7608" max="7615" width="0" hidden="1" customWidth="1"/>
    <col min="7616" max="7616" width="10.140625" customWidth="1"/>
    <col min="7617" max="7617" width="15.85546875" customWidth="1"/>
    <col min="7618" max="7618" width="4.140625" customWidth="1"/>
    <col min="7619" max="7619" width="5.5703125" customWidth="1"/>
    <col min="7620" max="7620" width="21.7109375" customWidth="1"/>
    <col min="7621" max="7621" width="14.140625" customWidth="1"/>
    <col min="7624" max="7625" width="18.7109375" bestFit="1" customWidth="1"/>
    <col min="7855" max="7855" width="14.42578125" customWidth="1"/>
    <col min="7859" max="7859" width="16.85546875" customWidth="1"/>
    <col min="7860" max="7860" width="9" customWidth="1"/>
    <col min="7861" max="7861" width="6.140625" customWidth="1"/>
    <col min="7862" max="7862" width="3.85546875" customWidth="1"/>
    <col min="7863" max="7863" width="11.7109375" customWidth="1"/>
    <col min="7864" max="7871" width="0" hidden="1" customWidth="1"/>
    <col min="7872" max="7872" width="10.140625" customWidth="1"/>
    <col min="7873" max="7873" width="15.85546875" customWidth="1"/>
    <col min="7874" max="7874" width="4.140625" customWidth="1"/>
    <col min="7875" max="7875" width="5.5703125" customWidth="1"/>
    <col min="7876" max="7876" width="21.7109375" customWidth="1"/>
    <col min="7877" max="7877" width="14.140625" customWidth="1"/>
    <col min="7880" max="7881" width="18.7109375" bestFit="1" customWidth="1"/>
    <col min="8111" max="8111" width="14.42578125" customWidth="1"/>
    <col min="8115" max="8115" width="16.85546875" customWidth="1"/>
    <col min="8116" max="8116" width="9" customWidth="1"/>
    <col min="8117" max="8117" width="6.140625" customWidth="1"/>
    <col min="8118" max="8118" width="3.85546875" customWidth="1"/>
    <col min="8119" max="8119" width="11.7109375" customWidth="1"/>
    <col min="8120" max="8127" width="0" hidden="1" customWidth="1"/>
    <col min="8128" max="8128" width="10.140625" customWidth="1"/>
    <col min="8129" max="8129" width="15.85546875" customWidth="1"/>
    <col min="8130" max="8130" width="4.140625" customWidth="1"/>
    <col min="8131" max="8131" width="5.5703125" customWidth="1"/>
    <col min="8132" max="8132" width="21.7109375" customWidth="1"/>
    <col min="8133" max="8133" width="14.140625" customWidth="1"/>
    <col min="8136" max="8137" width="18.7109375" bestFit="1" customWidth="1"/>
    <col min="8367" max="8367" width="14.42578125" customWidth="1"/>
    <col min="8371" max="8371" width="16.85546875" customWidth="1"/>
    <col min="8372" max="8372" width="9" customWidth="1"/>
    <col min="8373" max="8373" width="6.140625" customWidth="1"/>
    <col min="8374" max="8374" width="3.85546875" customWidth="1"/>
    <col min="8375" max="8375" width="11.7109375" customWidth="1"/>
    <col min="8376" max="8383" width="0" hidden="1" customWidth="1"/>
    <col min="8384" max="8384" width="10.140625" customWidth="1"/>
    <col min="8385" max="8385" width="15.85546875" customWidth="1"/>
    <col min="8386" max="8386" width="4.140625" customWidth="1"/>
    <col min="8387" max="8387" width="5.5703125" customWidth="1"/>
    <col min="8388" max="8388" width="21.7109375" customWidth="1"/>
    <col min="8389" max="8389" width="14.140625" customWidth="1"/>
    <col min="8392" max="8393" width="18.7109375" bestFit="1" customWidth="1"/>
    <col min="8623" max="8623" width="14.42578125" customWidth="1"/>
    <col min="8627" max="8627" width="16.85546875" customWidth="1"/>
    <col min="8628" max="8628" width="9" customWidth="1"/>
    <col min="8629" max="8629" width="6.140625" customWidth="1"/>
    <col min="8630" max="8630" width="3.85546875" customWidth="1"/>
    <col min="8631" max="8631" width="11.7109375" customWidth="1"/>
    <col min="8632" max="8639" width="0" hidden="1" customWidth="1"/>
    <col min="8640" max="8640" width="10.140625" customWidth="1"/>
    <col min="8641" max="8641" width="15.85546875" customWidth="1"/>
    <col min="8642" max="8642" width="4.140625" customWidth="1"/>
    <col min="8643" max="8643" width="5.5703125" customWidth="1"/>
    <col min="8644" max="8644" width="21.7109375" customWidth="1"/>
    <col min="8645" max="8645" width="14.140625" customWidth="1"/>
    <col min="8648" max="8649" width="18.7109375" bestFit="1" customWidth="1"/>
    <col min="8879" max="8879" width="14.42578125" customWidth="1"/>
    <col min="8883" max="8883" width="16.85546875" customWidth="1"/>
    <col min="8884" max="8884" width="9" customWidth="1"/>
    <col min="8885" max="8885" width="6.140625" customWidth="1"/>
    <col min="8886" max="8886" width="3.85546875" customWidth="1"/>
    <col min="8887" max="8887" width="11.7109375" customWidth="1"/>
    <col min="8888" max="8895" width="0" hidden="1" customWidth="1"/>
    <col min="8896" max="8896" width="10.140625" customWidth="1"/>
    <col min="8897" max="8897" width="15.85546875" customWidth="1"/>
    <col min="8898" max="8898" width="4.140625" customWidth="1"/>
    <col min="8899" max="8899" width="5.5703125" customWidth="1"/>
    <col min="8900" max="8900" width="21.7109375" customWidth="1"/>
    <col min="8901" max="8901" width="14.140625" customWidth="1"/>
    <col min="8904" max="8905" width="18.7109375" bestFit="1" customWidth="1"/>
    <col min="9135" max="9135" width="14.42578125" customWidth="1"/>
    <col min="9139" max="9139" width="16.85546875" customWidth="1"/>
    <col min="9140" max="9140" width="9" customWidth="1"/>
    <col min="9141" max="9141" width="6.140625" customWidth="1"/>
    <col min="9142" max="9142" width="3.85546875" customWidth="1"/>
    <col min="9143" max="9143" width="11.7109375" customWidth="1"/>
    <col min="9144" max="9151" width="0" hidden="1" customWidth="1"/>
    <col min="9152" max="9152" width="10.140625" customWidth="1"/>
    <col min="9153" max="9153" width="15.85546875" customWidth="1"/>
    <col min="9154" max="9154" width="4.140625" customWidth="1"/>
    <col min="9155" max="9155" width="5.5703125" customWidth="1"/>
    <col min="9156" max="9156" width="21.7109375" customWidth="1"/>
    <col min="9157" max="9157" width="14.140625" customWidth="1"/>
    <col min="9160" max="9161" width="18.7109375" bestFit="1" customWidth="1"/>
    <col min="9391" max="9391" width="14.42578125" customWidth="1"/>
    <col min="9395" max="9395" width="16.85546875" customWidth="1"/>
    <col min="9396" max="9396" width="9" customWidth="1"/>
    <col min="9397" max="9397" width="6.140625" customWidth="1"/>
    <col min="9398" max="9398" width="3.85546875" customWidth="1"/>
    <col min="9399" max="9399" width="11.7109375" customWidth="1"/>
    <col min="9400" max="9407" width="0" hidden="1" customWidth="1"/>
    <col min="9408" max="9408" width="10.140625" customWidth="1"/>
    <col min="9409" max="9409" width="15.85546875" customWidth="1"/>
    <col min="9410" max="9410" width="4.140625" customWidth="1"/>
    <col min="9411" max="9411" width="5.5703125" customWidth="1"/>
    <col min="9412" max="9412" width="21.7109375" customWidth="1"/>
    <col min="9413" max="9413" width="14.140625" customWidth="1"/>
    <col min="9416" max="9417" width="18.7109375" bestFit="1" customWidth="1"/>
    <col min="9647" max="9647" width="14.42578125" customWidth="1"/>
    <col min="9651" max="9651" width="16.85546875" customWidth="1"/>
    <col min="9652" max="9652" width="9" customWidth="1"/>
    <col min="9653" max="9653" width="6.140625" customWidth="1"/>
    <col min="9654" max="9654" width="3.85546875" customWidth="1"/>
    <col min="9655" max="9655" width="11.7109375" customWidth="1"/>
    <col min="9656" max="9663" width="0" hidden="1" customWidth="1"/>
    <col min="9664" max="9664" width="10.140625" customWidth="1"/>
    <col min="9665" max="9665" width="15.85546875" customWidth="1"/>
    <col min="9666" max="9666" width="4.140625" customWidth="1"/>
    <col min="9667" max="9667" width="5.5703125" customWidth="1"/>
    <col min="9668" max="9668" width="21.7109375" customWidth="1"/>
    <col min="9669" max="9669" width="14.140625" customWidth="1"/>
    <col min="9672" max="9673" width="18.7109375" bestFit="1" customWidth="1"/>
    <col min="9903" max="9903" width="14.42578125" customWidth="1"/>
    <col min="9907" max="9907" width="16.85546875" customWidth="1"/>
    <col min="9908" max="9908" width="9" customWidth="1"/>
    <col min="9909" max="9909" width="6.140625" customWidth="1"/>
    <col min="9910" max="9910" width="3.85546875" customWidth="1"/>
    <col min="9911" max="9911" width="11.7109375" customWidth="1"/>
    <col min="9912" max="9919" width="0" hidden="1" customWidth="1"/>
    <col min="9920" max="9920" width="10.140625" customWidth="1"/>
    <col min="9921" max="9921" width="15.85546875" customWidth="1"/>
    <col min="9922" max="9922" width="4.140625" customWidth="1"/>
    <col min="9923" max="9923" width="5.5703125" customWidth="1"/>
    <col min="9924" max="9924" width="21.7109375" customWidth="1"/>
    <col min="9925" max="9925" width="14.140625" customWidth="1"/>
    <col min="9928" max="9929" width="18.7109375" bestFit="1" customWidth="1"/>
    <col min="10159" max="10159" width="14.42578125" customWidth="1"/>
    <col min="10163" max="10163" width="16.85546875" customWidth="1"/>
    <col min="10164" max="10164" width="9" customWidth="1"/>
    <col min="10165" max="10165" width="6.140625" customWidth="1"/>
    <col min="10166" max="10166" width="3.85546875" customWidth="1"/>
    <col min="10167" max="10167" width="11.7109375" customWidth="1"/>
    <col min="10168" max="10175" width="0" hidden="1" customWidth="1"/>
    <col min="10176" max="10176" width="10.140625" customWidth="1"/>
    <col min="10177" max="10177" width="15.85546875" customWidth="1"/>
    <col min="10178" max="10178" width="4.140625" customWidth="1"/>
    <col min="10179" max="10179" width="5.5703125" customWidth="1"/>
    <col min="10180" max="10180" width="21.7109375" customWidth="1"/>
    <col min="10181" max="10181" width="14.140625" customWidth="1"/>
    <col min="10184" max="10185" width="18.7109375" bestFit="1" customWidth="1"/>
    <col min="10415" max="10415" width="14.42578125" customWidth="1"/>
    <col min="10419" max="10419" width="16.85546875" customWidth="1"/>
    <col min="10420" max="10420" width="9" customWidth="1"/>
    <col min="10421" max="10421" width="6.140625" customWidth="1"/>
    <col min="10422" max="10422" width="3.85546875" customWidth="1"/>
    <col min="10423" max="10423" width="11.7109375" customWidth="1"/>
    <col min="10424" max="10431" width="0" hidden="1" customWidth="1"/>
    <col min="10432" max="10432" width="10.140625" customWidth="1"/>
    <col min="10433" max="10433" width="15.85546875" customWidth="1"/>
    <col min="10434" max="10434" width="4.140625" customWidth="1"/>
    <col min="10435" max="10435" width="5.5703125" customWidth="1"/>
    <col min="10436" max="10436" width="21.7109375" customWidth="1"/>
    <col min="10437" max="10437" width="14.140625" customWidth="1"/>
    <col min="10440" max="10441" width="18.7109375" bestFit="1" customWidth="1"/>
    <col min="10671" max="10671" width="14.42578125" customWidth="1"/>
    <col min="10675" max="10675" width="16.85546875" customWidth="1"/>
    <col min="10676" max="10676" width="9" customWidth="1"/>
    <col min="10677" max="10677" width="6.140625" customWidth="1"/>
    <col min="10678" max="10678" width="3.85546875" customWidth="1"/>
    <col min="10679" max="10679" width="11.7109375" customWidth="1"/>
    <col min="10680" max="10687" width="0" hidden="1" customWidth="1"/>
    <col min="10688" max="10688" width="10.140625" customWidth="1"/>
    <col min="10689" max="10689" width="15.85546875" customWidth="1"/>
    <col min="10690" max="10690" width="4.140625" customWidth="1"/>
    <col min="10691" max="10691" width="5.5703125" customWidth="1"/>
    <col min="10692" max="10692" width="21.7109375" customWidth="1"/>
    <col min="10693" max="10693" width="14.140625" customWidth="1"/>
    <col min="10696" max="10697" width="18.7109375" bestFit="1" customWidth="1"/>
    <col min="10927" max="10927" width="14.42578125" customWidth="1"/>
    <col min="10931" max="10931" width="16.85546875" customWidth="1"/>
    <col min="10932" max="10932" width="9" customWidth="1"/>
    <col min="10933" max="10933" width="6.140625" customWidth="1"/>
    <col min="10934" max="10934" width="3.85546875" customWidth="1"/>
    <col min="10935" max="10935" width="11.7109375" customWidth="1"/>
    <col min="10936" max="10943" width="0" hidden="1" customWidth="1"/>
    <col min="10944" max="10944" width="10.140625" customWidth="1"/>
    <col min="10945" max="10945" width="15.85546875" customWidth="1"/>
    <col min="10946" max="10946" width="4.140625" customWidth="1"/>
    <col min="10947" max="10947" width="5.5703125" customWidth="1"/>
    <col min="10948" max="10948" width="21.7109375" customWidth="1"/>
    <col min="10949" max="10949" width="14.140625" customWidth="1"/>
    <col min="10952" max="10953" width="18.7109375" bestFit="1" customWidth="1"/>
    <col min="11183" max="11183" width="14.42578125" customWidth="1"/>
    <col min="11187" max="11187" width="16.85546875" customWidth="1"/>
    <col min="11188" max="11188" width="9" customWidth="1"/>
    <col min="11189" max="11189" width="6.140625" customWidth="1"/>
    <col min="11190" max="11190" width="3.85546875" customWidth="1"/>
    <col min="11191" max="11191" width="11.7109375" customWidth="1"/>
    <col min="11192" max="11199" width="0" hidden="1" customWidth="1"/>
    <col min="11200" max="11200" width="10.140625" customWidth="1"/>
    <col min="11201" max="11201" width="15.85546875" customWidth="1"/>
    <col min="11202" max="11202" width="4.140625" customWidth="1"/>
    <col min="11203" max="11203" width="5.5703125" customWidth="1"/>
    <col min="11204" max="11204" width="21.7109375" customWidth="1"/>
    <col min="11205" max="11205" width="14.140625" customWidth="1"/>
    <col min="11208" max="11209" width="18.7109375" bestFit="1" customWidth="1"/>
    <col min="11439" max="11439" width="14.42578125" customWidth="1"/>
    <col min="11443" max="11443" width="16.85546875" customWidth="1"/>
    <col min="11444" max="11444" width="9" customWidth="1"/>
    <col min="11445" max="11445" width="6.140625" customWidth="1"/>
    <col min="11446" max="11446" width="3.85546875" customWidth="1"/>
    <col min="11447" max="11447" width="11.7109375" customWidth="1"/>
    <col min="11448" max="11455" width="0" hidden="1" customWidth="1"/>
    <col min="11456" max="11456" width="10.140625" customWidth="1"/>
    <col min="11457" max="11457" width="15.85546875" customWidth="1"/>
    <col min="11458" max="11458" width="4.140625" customWidth="1"/>
    <col min="11459" max="11459" width="5.5703125" customWidth="1"/>
    <col min="11460" max="11460" width="21.7109375" customWidth="1"/>
    <col min="11461" max="11461" width="14.140625" customWidth="1"/>
    <col min="11464" max="11465" width="18.7109375" bestFit="1" customWidth="1"/>
    <col min="11695" max="11695" width="14.42578125" customWidth="1"/>
    <col min="11699" max="11699" width="16.85546875" customWidth="1"/>
    <col min="11700" max="11700" width="9" customWidth="1"/>
    <col min="11701" max="11701" width="6.140625" customWidth="1"/>
    <col min="11702" max="11702" width="3.85546875" customWidth="1"/>
    <col min="11703" max="11703" width="11.7109375" customWidth="1"/>
    <col min="11704" max="11711" width="0" hidden="1" customWidth="1"/>
    <col min="11712" max="11712" width="10.140625" customWidth="1"/>
    <col min="11713" max="11713" width="15.85546875" customWidth="1"/>
    <col min="11714" max="11714" width="4.140625" customWidth="1"/>
    <col min="11715" max="11715" width="5.5703125" customWidth="1"/>
    <col min="11716" max="11716" width="21.7109375" customWidth="1"/>
    <col min="11717" max="11717" width="14.140625" customWidth="1"/>
    <col min="11720" max="11721" width="18.7109375" bestFit="1" customWidth="1"/>
    <col min="11951" max="11951" width="14.42578125" customWidth="1"/>
    <col min="11955" max="11955" width="16.85546875" customWidth="1"/>
    <col min="11956" max="11956" width="9" customWidth="1"/>
    <col min="11957" max="11957" width="6.140625" customWidth="1"/>
    <col min="11958" max="11958" width="3.85546875" customWidth="1"/>
    <col min="11959" max="11959" width="11.7109375" customWidth="1"/>
    <col min="11960" max="11967" width="0" hidden="1" customWidth="1"/>
    <col min="11968" max="11968" width="10.140625" customWidth="1"/>
    <col min="11969" max="11969" width="15.85546875" customWidth="1"/>
    <col min="11970" max="11970" width="4.140625" customWidth="1"/>
    <col min="11971" max="11971" width="5.5703125" customWidth="1"/>
    <col min="11972" max="11972" width="21.7109375" customWidth="1"/>
    <col min="11973" max="11973" width="14.140625" customWidth="1"/>
    <col min="11976" max="11977" width="18.7109375" bestFit="1" customWidth="1"/>
    <col min="12207" max="12207" width="14.42578125" customWidth="1"/>
    <col min="12211" max="12211" width="16.85546875" customWidth="1"/>
    <col min="12212" max="12212" width="9" customWidth="1"/>
    <col min="12213" max="12213" width="6.140625" customWidth="1"/>
    <col min="12214" max="12214" width="3.85546875" customWidth="1"/>
    <col min="12215" max="12215" width="11.7109375" customWidth="1"/>
    <col min="12216" max="12223" width="0" hidden="1" customWidth="1"/>
    <col min="12224" max="12224" width="10.140625" customWidth="1"/>
    <col min="12225" max="12225" width="15.85546875" customWidth="1"/>
    <col min="12226" max="12226" width="4.140625" customWidth="1"/>
    <col min="12227" max="12227" width="5.5703125" customWidth="1"/>
    <col min="12228" max="12228" width="21.7109375" customWidth="1"/>
    <col min="12229" max="12229" width="14.140625" customWidth="1"/>
    <col min="12232" max="12233" width="18.7109375" bestFit="1" customWidth="1"/>
    <col min="12463" max="12463" width="14.42578125" customWidth="1"/>
    <col min="12467" max="12467" width="16.85546875" customWidth="1"/>
    <col min="12468" max="12468" width="9" customWidth="1"/>
    <col min="12469" max="12469" width="6.140625" customWidth="1"/>
    <col min="12470" max="12470" width="3.85546875" customWidth="1"/>
    <col min="12471" max="12471" width="11.7109375" customWidth="1"/>
    <col min="12472" max="12479" width="0" hidden="1" customWidth="1"/>
    <col min="12480" max="12480" width="10.140625" customWidth="1"/>
    <col min="12481" max="12481" width="15.85546875" customWidth="1"/>
    <col min="12482" max="12482" width="4.140625" customWidth="1"/>
    <col min="12483" max="12483" width="5.5703125" customWidth="1"/>
    <col min="12484" max="12484" width="21.7109375" customWidth="1"/>
    <col min="12485" max="12485" width="14.140625" customWidth="1"/>
    <col min="12488" max="12489" width="18.7109375" bestFit="1" customWidth="1"/>
    <col min="12719" max="12719" width="14.42578125" customWidth="1"/>
    <col min="12723" max="12723" width="16.85546875" customWidth="1"/>
    <col min="12724" max="12724" width="9" customWidth="1"/>
    <col min="12725" max="12725" width="6.140625" customWidth="1"/>
    <col min="12726" max="12726" width="3.85546875" customWidth="1"/>
    <col min="12727" max="12727" width="11.7109375" customWidth="1"/>
    <col min="12728" max="12735" width="0" hidden="1" customWidth="1"/>
    <col min="12736" max="12736" width="10.140625" customWidth="1"/>
    <col min="12737" max="12737" width="15.85546875" customWidth="1"/>
    <col min="12738" max="12738" width="4.140625" customWidth="1"/>
    <col min="12739" max="12739" width="5.5703125" customWidth="1"/>
    <col min="12740" max="12740" width="21.7109375" customWidth="1"/>
    <col min="12741" max="12741" width="14.140625" customWidth="1"/>
    <col min="12744" max="12745" width="18.7109375" bestFit="1" customWidth="1"/>
    <col min="12975" max="12975" width="14.42578125" customWidth="1"/>
    <col min="12979" max="12979" width="16.85546875" customWidth="1"/>
    <col min="12980" max="12980" width="9" customWidth="1"/>
    <col min="12981" max="12981" width="6.140625" customWidth="1"/>
    <col min="12982" max="12982" width="3.85546875" customWidth="1"/>
    <col min="12983" max="12983" width="11.7109375" customWidth="1"/>
    <col min="12984" max="12991" width="0" hidden="1" customWidth="1"/>
    <col min="12992" max="12992" width="10.140625" customWidth="1"/>
    <col min="12993" max="12993" width="15.85546875" customWidth="1"/>
    <col min="12994" max="12994" width="4.140625" customWidth="1"/>
    <col min="12995" max="12995" width="5.5703125" customWidth="1"/>
    <col min="12996" max="12996" width="21.7109375" customWidth="1"/>
    <col min="12997" max="12997" width="14.140625" customWidth="1"/>
    <col min="13000" max="13001" width="18.7109375" bestFit="1" customWidth="1"/>
    <col min="13231" max="13231" width="14.42578125" customWidth="1"/>
    <col min="13235" max="13235" width="16.85546875" customWidth="1"/>
    <col min="13236" max="13236" width="9" customWidth="1"/>
    <col min="13237" max="13237" width="6.140625" customWidth="1"/>
    <col min="13238" max="13238" width="3.85546875" customWidth="1"/>
    <col min="13239" max="13239" width="11.7109375" customWidth="1"/>
    <col min="13240" max="13247" width="0" hidden="1" customWidth="1"/>
    <col min="13248" max="13248" width="10.140625" customWidth="1"/>
    <col min="13249" max="13249" width="15.85546875" customWidth="1"/>
    <col min="13250" max="13250" width="4.140625" customWidth="1"/>
    <col min="13251" max="13251" width="5.5703125" customWidth="1"/>
    <col min="13252" max="13252" width="21.7109375" customWidth="1"/>
    <col min="13253" max="13253" width="14.140625" customWidth="1"/>
    <col min="13256" max="13257" width="18.7109375" bestFit="1" customWidth="1"/>
    <col min="13487" max="13487" width="14.42578125" customWidth="1"/>
    <col min="13491" max="13491" width="16.85546875" customWidth="1"/>
    <col min="13492" max="13492" width="9" customWidth="1"/>
    <col min="13493" max="13493" width="6.140625" customWidth="1"/>
    <col min="13494" max="13494" width="3.85546875" customWidth="1"/>
    <col min="13495" max="13495" width="11.7109375" customWidth="1"/>
    <col min="13496" max="13503" width="0" hidden="1" customWidth="1"/>
    <col min="13504" max="13504" width="10.140625" customWidth="1"/>
    <col min="13505" max="13505" width="15.85546875" customWidth="1"/>
    <col min="13506" max="13506" width="4.140625" customWidth="1"/>
    <col min="13507" max="13507" width="5.5703125" customWidth="1"/>
    <col min="13508" max="13508" width="21.7109375" customWidth="1"/>
    <col min="13509" max="13509" width="14.140625" customWidth="1"/>
    <col min="13512" max="13513" width="18.7109375" bestFit="1" customWidth="1"/>
    <col min="13743" max="13743" width="14.42578125" customWidth="1"/>
    <col min="13747" max="13747" width="16.85546875" customWidth="1"/>
    <col min="13748" max="13748" width="9" customWidth="1"/>
    <col min="13749" max="13749" width="6.140625" customWidth="1"/>
    <col min="13750" max="13750" width="3.85546875" customWidth="1"/>
    <col min="13751" max="13751" width="11.7109375" customWidth="1"/>
    <col min="13752" max="13759" width="0" hidden="1" customWidth="1"/>
    <col min="13760" max="13760" width="10.140625" customWidth="1"/>
    <col min="13761" max="13761" width="15.85546875" customWidth="1"/>
    <col min="13762" max="13762" width="4.140625" customWidth="1"/>
    <col min="13763" max="13763" width="5.5703125" customWidth="1"/>
    <col min="13764" max="13764" width="21.7109375" customWidth="1"/>
    <col min="13765" max="13765" width="14.140625" customWidth="1"/>
    <col min="13768" max="13769" width="18.7109375" bestFit="1" customWidth="1"/>
    <col min="13999" max="13999" width="14.42578125" customWidth="1"/>
    <col min="14003" max="14003" width="16.85546875" customWidth="1"/>
    <col min="14004" max="14004" width="9" customWidth="1"/>
    <col min="14005" max="14005" width="6.140625" customWidth="1"/>
    <col min="14006" max="14006" width="3.85546875" customWidth="1"/>
    <col min="14007" max="14007" width="11.7109375" customWidth="1"/>
    <col min="14008" max="14015" width="0" hidden="1" customWidth="1"/>
    <col min="14016" max="14016" width="10.140625" customWidth="1"/>
    <col min="14017" max="14017" width="15.85546875" customWidth="1"/>
    <col min="14018" max="14018" width="4.140625" customWidth="1"/>
    <col min="14019" max="14019" width="5.5703125" customWidth="1"/>
    <col min="14020" max="14020" width="21.7109375" customWidth="1"/>
    <col min="14021" max="14021" width="14.140625" customWidth="1"/>
    <col min="14024" max="14025" width="18.7109375" bestFit="1" customWidth="1"/>
    <col min="14255" max="14255" width="14.42578125" customWidth="1"/>
    <col min="14259" max="14259" width="16.85546875" customWidth="1"/>
    <col min="14260" max="14260" width="9" customWidth="1"/>
    <col min="14261" max="14261" width="6.140625" customWidth="1"/>
    <col min="14262" max="14262" width="3.85546875" customWidth="1"/>
    <col min="14263" max="14263" width="11.7109375" customWidth="1"/>
    <col min="14264" max="14271" width="0" hidden="1" customWidth="1"/>
    <col min="14272" max="14272" width="10.140625" customWidth="1"/>
    <col min="14273" max="14273" width="15.85546875" customWidth="1"/>
    <col min="14274" max="14274" width="4.140625" customWidth="1"/>
    <col min="14275" max="14275" width="5.5703125" customWidth="1"/>
    <col min="14276" max="14276" width="21.7109375" customWidth="1"/>
    <col min="14277" max="14277" width="14.140625" customWidth="1"/>
    <col min="14280" max="14281" width="18.7109375" bestFit="1" customWidth="1"/>
    <col min="14511" max="14511" width="14.42578125" customWidth="1"/>
    <col min="14515" max="14515" width="16.85546875" customWidth="1"/>
    <col min="14516" max="14516" width="9" customWidth="1"/>
    <col min="14517" max="14517" width="6.140625" customWidth="1"/>
    <col min="14518" max="14518" width="3.85546875" customWidth="1"/>
    <col min="14519" max="14519" width="11.7109375" customWidth="1"/>
    <col min="14520" max="14527" width="0" hidden="1" customWidth="1"/>
    <col min="14528" max="14528" width="10.140625" customWidth="1"/>
    <col min="14529" max="14529" width="15.85546875" customWidth="1"/>
    <col min="14530" max="14530" width="4.140625" customWidth="1"/>
    <col min="14531" max="14531" width="5.5703125" customWidth="1"/>
    <col min="14532" max="14532" width="21.7109375" customWidth="1"/>
    <col min="14533" max="14533" width="14.140625" customWidth="1"/>
    <col min="14536" max="14537" width="18.7109375" bestFit="1" customWidth="1"/>
    <col min="14767" max="14767" width="14.42578125" customWidth="1"/>
    <col min="14771" max="14771" width="16.85546875" customWidth="1"/>
    <col min="14772" max="14772" width="9" customWidth="1"/>
    <col min="14773" max="14773" width="6.140625" customWidth="1"/>
    <col min="14774" max="14774" width="3.85546875" customWidth="1"/>
    <col min="14775" max="14775" width="11.7109375" customWidth="1"/>
    <col min="14776" max="14783" width="0" hidden="1" customWidth="1"/>
    <col min="14784" max="14784" width="10.140625" customWidth="1"/>
    <col min="14785" max="14785" width="15.85546875" customWidth="1"/>
    <col min="14786" max="14786" width="4.140625" customWidth="1"/>
    <col min="14787" max="14787" width="5.5703125" customWidth="1"/>
    <col min="14788" max="14788" width="21.7109375" customWidth="1"/>
    <col min="14789" max="14789" width="14.140625" customWidth="1"/>
    <col min="14792" max="14793" width="18.7109375" bestFit="1" customWidth="1"/>
    <col min="15023" max="15023" width="14.42578125" customWidth="1"/>
    <col min="15027" max="15027" width="16.85546875" customWidth="1"/>
    <col min="15028" max="15028" width="9" customWidth="1"/>
    <col min="15029" max="15029" width="6.140625" customWidth="1"/>
    <col min="15030" max="15030" width="3.85546875" customWidth="1"/>
    <col min="15031" max="15031" width="11.7109375" customWidth="1"/>
    <col min="15032" max="15039" width="0" hidden="1" customWidth="1"/>
    <col min="15040" max="15040" width="10.140625" customWidth="1"/>
    <col min="15041" max="15041" width="15.85546875" customWidth="1"/>
    <col min="15042" max="15042" width="4.140625" customWidth="1"/>
    <col min="15043" max="15043" width="5.5703125" customWidth="1"/>
    <col min="15044" max="15044" width="21.7109375" customWidth="1"/>
    <col min="15045" max="15045" width="14.140625" customWidth="1"/>
    <col min="15048" max="15049" width="18.7109375" bestFit="1" customWidth="1"/>
    <col min="15279" max="15279" width="14.42578125" customWidth="1"/>
    <col min="15283" max="15283" width="16.85546875" customWidth="1"/>
    <col min="15284" max="15284" width="9" customWidth="1"/>
    <col min="15285" max="15285" width="6.140625" customWidth="1"/>
    <col min="15286" max="15286" width="3.85546875" customWidth="1"/>
    <col min="15287" max="15287" width="11.7109375" customWidth="1"/>
    <col min="15288" max="15295" width="0" hidden="1" customWidth="1"/>
    <col min="15296" max="15296" width="10.140625" customWidth="1"/>
    <col min="15297" max="15297" width="15.85546875" customWidth="1"/>
    <col min="15298" max="15298" width="4.140625" customWidth="1"/>
    <col min="15299" max="15299" width="5.5703125" customWidth="1"/>
    <col min="15300" max="15300" width="21.7109375" customWidth="1"/>
    <col min="15301" max="15301" width="14.140625" customWidth="1"/>
    <col min="15304" max="15305" width="18.7109375" bestFit="1" customWidth="1"/>
    <col min="15535" max="15535" width="14.42578125" customWidth="1"/>
    <col min="15539" max="15539" width="16.85546875" customWidth="1"/>
    <col min="15540" max="15540" width="9" customWidth="1"/>
    <col min="15541" max="15541" width="6.140625" customWidth="1"/>
    <col min="15542" max="15542" width="3.85546875" customWidth="1"/>
    <col min="15543" max="15543" width="11.7109375" customWidth="1"/>
    <col min="15544" max="15551" width="0" hidden="1" customWidth="1"/>
    <col min="15552" max="15552" width="10.140625" customWidth="1"/>
    <col min="15553" max="15553" width="15.85546875" customWidth="1"/>
    <col min="15554" max="15554" width="4.140625" customWidth="1"/>
    <col min="15555" max="15555" width="5.5703125" customWidth="1"/>
    <col min="15556" max="15556" width="21.7109375" customWidth="1"/>
    <col min="15557" max="15557" width="14.140625" customWidth="1"/>
    <col min="15560" max="15561" width="18.7109375" bestFit="1" customWidth="1"/>
    <col min="15791" max="15791" width="14.42578125" customWidth="1"/>
    <col min="15795" max="15795" width="16.85546875" customWidth="1"/>
    <col min="15796" max="15796" width="9" customWidth="1"/>
    <col min="15797" max="15797" width="6.140625" customWidth="1"/>
    <col min="15798" max="15798" width="3.85546875" customWidth="1"/>
    <col min="15799" max="15799" width="11.7109375" customWidth="1"/>
    <col min="15800" max="15807" width="0" hidden="1" customWidth="1"/>
    <col min="15808" max="15808" width="10.140625" customWidth="1"/>
    <col min="15809" max="15809" width="15.85546875" customWidth="1"/>
    <col min="15810" max="15810" width="4.140625" customWidth="1"/>
    <col min="15811" max="15811" width="5.5703125" customWidth="1"/>
    <col min="15812" max="15812" width="21.7109375" customWidth="1"/>
    <col min="15813" max="15813" width="14.140625" customWidth="1"/>
    <col min="15816" max="15817" width="18.7109375" bestFit="1" customWidth="1"/>
    <col min="16047" max="16047" width="14.42578125" customWidth="1"/>
    <col min="16051" max="16051" width="16.85546875" customWidth="1"/>
    <col min="16052" max="16052" width="9" customWidth="1"/>
    <col min="16053" max="16053" width="6.140625" customWidth="1"/>
    <col min="16054" max="16054" width="3.85546875" customWidth="1"/>
    <col min="16055" max="16055" width="11.7109375" customWidth="1"/>
    <col min="16056" max="16063" width="0" hidden="1" customWidth="1"/>
    <col min="16064" max="16064" width="10.140625" customWidth="1"/>
    <col min="16065" max="16065" width="15.85546875" customWidth="1"/>
    <col min="16066" max="16066" width="4.140625" customWidth="1"/>
    <col min="16067" max="16067" width="5.5703125" customWidth="1"/>
    <col min="16068" max="16068" width="21.7109375" customWidth="1"/>
    <col min="16069" max="16069" width="14.140625" customWidth="1"/>
    <col min="16072" max="16073" width="18.7109375" bestFit="1" customWidth="1"/>
  </cols>
  <sheetData>
    <row r="1" spans="1:8" ht="51" customHeight="1" x14ac:dyDescent="0.2">
      <c r="B1" s="358"/>
      <c r="C1" s="358"/>
      <c r="D1" s="358"/>
    </row>
    <row r="2" spans="1:8" ht="19.5" customHeight="1" thickBot="1" x14ac:dyDescent="0.3">
      <c r="B2" s="375" t="s">
        <v>174</v>
      </c>
      <c r="C2" s="375"/>
      <c r="D2" s="375"/>
    </row>
    <row r="3" spans="1:8" ht="35.1" customHeight="1" thickBot="1" x14ac:dyDescent="0.25">
      <c r="B3" s="357" t="s">
        <v>225</v>
      </c>
      <c r="C3" s="357"/>
      <c r="D3" s="357"/>
      <c r="F3" s="373" t="s">
        <v>181</v>
      </c>
      <c r="G3" s="374"/>
    </row>
    <row r="4" spans="1:8" ht="21" customHeight="1" thickBot="1" x14ac:dyDescent="0.25">
      <c r="B4" s="65" t="s">
        <v>169</v>
      </c>
      <c r="C4" s="66"/>
      <c r="D4" s="67">
        <v>694273.86</v>
      </c>
      <c r="F4" s="72" t="s">
        <v>116</v>
      </c>
      <c r="G4" s="73" t="s">
        <v>176</v>
      </c>
    </row>
    <row r="5" spans="1:8" ht="15.6" customHeight="1" x14ac:dyDescent="0.2">
      <c r="A5" s="56"/>
      <c r="B5" s="41"/>
      <c r="F5" s="68">
        <v>0.1</v>
      </c>
      <c r="G5" s="69">
        <v>0</v>
      </c>
    </row>
    <row r="6" spans="1:8" ht="15.6" customHeight="1" x14ac:dyDescent="0.2">
      <c r="B6" s="376" t="s">
        <v>125</v>
      </c>
      <c r="C6" s="377"/>
      <c r="D6" s="378"/>
      <c r="F6" s="68">
        <v>0.08</v>
      </c>
      <c r="G6" s="69">
        <v>60</v>
      </c>
    </row>
    <row r="7" spans="1:8" ht="15.6" customHeight="1" x14ac:dyDescent="0.2">
      <c r="B7" s="42"/>
      <c r="C7" s="59"/>
      <c r="D7" s="59"/>
      <c r="F7" s="68">
        <v>7.0000000000000007E-2</v>
      </c>
      <c r="G7" s="69">
        <v>120</v>
      </c>
    </row>
    <row r="8" spans="1:8" s="1" customFormat="1" ht="15.75" x14ac:dyDescent="0.2">
      <c r="B8" s="60" t="s">
        <v>3</v>
      </c>
      <c r="C8" s="60"/>
      <c r="D8" s="60"/>
      <c r="F8" s="68">
        <v>0.05</v>
      </c>
      <c r="G8" s="69">
        <v>240</v>
      </c>
      <c r="H8"/>
    </row>
    <row r="9" spans="1:8" s="1" customFormat="1" ht="15" customHeight="1" x14ac:dyDescent="0.2">
      <c r="B9" s="103"/>
      <c r="C9" s="104"/>
      <c r="D9" s="105"/>
      <c r="F9" s="68">
        <v>0.04</v>
      </c>
      <c r="G9" s="69">
        <v>4800</v>
      </c>
      <c r="H9"/>
    </row>
    <row r="10" spans="1:8" s="1" customFormat="1" ht="15" customHeight="1" x14ac:dyDescent="0.2">
      <c r="B10" s="81" t="s">
        <v>112</v>
      </c>
      <c r="C10" s="92" t="s">
        <v>151</v>
      </c>
      <c r="D10" s="106" t="s">
        <v>111</v>
      </c>
      <c r="F10" s="68">
        <v>0.03</v>
      </c>
      <c r="G10" s="69">
        <v>10000</v>
      </c>
      <c r="H10"/>
    </row>
    <row r="11" spans="1:8" s="1" customFormat="1" ht="15" customHeight="1" thickBot="1" x14ac:dyDescent="0.25">
      <c r="B11" s="107" t="s">
        <v>4</v>
      </c>
      <c r="C11" s="108">
        <v>1</v>
      </c>
      <c r="D11" s="86">
        <f>+$D$4*C11</f>
        <v>694273.86</v>
      </c>
      <c r="E11" s="133" t="s">
        <v>200</v>
      </c>
      <c r="F11" s="70">
        <v>0.02</v>
      </c>
      <c r="G11" s="71">
        <v>20000</v>
      </c>
      <c r="H11"/>
    </row>
    <row r="12" spans="1:8" s="1" customFormat="1" ht="15" customHeight="1" x14ac:dyDescent="0.2">
      <c r="B12" s="107" t="s">
        <v>5</v>
      </c>
      <c r="C12" s="85">
        <v>1.4</v>
      </c>
      <c r="D12" s="86">
        <f t="shared" ref="D12:D14" si="0">+$D$4*C12</f>
        <v>971983.40399999986</v>
      </c>
      <c r="E12" s="133" t="s">
        <v>200</v>
      </c>
      <c r="H12"/>
    </row>
    <row r="13" spans="1:8" s="1" customFormat="1" ht="16.149999999999999" customHeight="1" x14ac:dyDescent="0.2">
      <c r="B13" s="107" t="s">
        <v>6</v>
      </c>
      <c r="C13" s="85">
        <v>1.45</v>
      </c>
      <c r="D13" s="86">
        <f t="shared" si="0"/>
        <v>1006697.097</v>
      </c>
      <c r="E13" s="133" t="s">
        <v>200</v>
      </c>
    </row>
    <row r="14" spans="1:8" s="1" customFormat="1" ht="15" x14ac:dyDescent="0.2">
      <c r="B14" s="107" t="s">
        <v>7</v>
      </c>
      <c r="C14" s="109">
        <v>1.5</v>
      </c>
      <c r="D14" s="86">
        <f t="shared" si="0"/>
        <v>1041410.79</v>
      </c>
      <c r="E14" s="133" t="s">
        <v>200</v>
      </c>
      <c r="F14" s="319" t="s">
        <v>144</v>
      </c>
      <c r="G14" s="313" t="s">
        <v>138</v>
      </c>
    </row>
    <row r="15" spans="1:8" s="1" customFormat="1" ht="15" customHeight="1" x14ac:dyDescent="0.2">
      <c r="B15" s="95"/>
      <c r="C15" s="110"/>
      <c r="D15" s="83"/>
      <c r="F15" s="314" t="s">
        <v>136</v>
      </c>
      <c r="G15" s="315">
        <v>1</v>
      </c>
    </row>
    <row r="16" spans="1:8" s="1" customFormat="1" ht="15" customHeight="1" x14ac:dyDescent="0.25">
      <c r="B16" s="81" t="s">
        <v>8</v>
      </c>
      <c r="C16" s="82"/>
      <c r="D16" s="83"/>
      <c r="F16" s="314" t="s">
        <v>214</v>
      </c>
      <c r="G16" s="316">
        <v>0.5</v>
      </c>
    </row>
    <row r="17" spans="2:7" s="1" customFormat="1" ht="15" customHeight="1" x14ac:dyDescent="0.2">
      <c r="B17" s="100" t="s">
        <v>152</v>
      </c>
      <c r="C17" s="108">
        <v>1.4</v>
      </c>
      <c r="D17" s="86">
        <f t="shared" ref="D17:D19" si="1">+$D$4*C17</f>
        <v>971983.40399999986</v>
      </c>
      <c r="E17" s="133" t="s">
        <v>200</v>
      </c>
      <c r="F17" s="314" t="s">
        <v>137</v>
      </c>
      <c r="G17" s="315">
        <v>0.25</v>
      </c>
    </row>
    <row r="18" spans="2:7" s="1" customFormat="1" ht="15" customHeight="1" x14ac:dyDescent="0.2">
      <c r="B18" s="100" t="s">
        <v>153</v>
      </c>
      <c r="C18" s="85">
        <v>1.5</v>
      </c>
      <c r="D18" s="86">
        <f t="shared" si="1"/>
        <v>1041410.79</v>
      </c>
      <c r="E18" s="133" t="s">
        <v>200</v>
      </c>
      <c r="F18" s="317" t="s">
        <v>223</v>
      </c>
      <c r="G18" s="318">
        <v>0.12</v>
      </c>
    </row>
    <row r="19" spans="2:7" s="1" customFormat="1" ht="15" customHeight="1" x14ac:dyDescent="0.2">
      <c r="B19" s="100" t="s">
        <v>154</v>
      </c>
      <c r="C19" s="109">
        <v>1.7</v>
      </c>
      <c r="D19" s="86">
        <f t="shared" si="1"/>
        <v>1180265.5619999999</v>
      </c>
      <c r="E19" s="133" t="s">
        <v>200</v>
      </c>
    </row>
    <row r="20" spans="2:7" s="1" customFormat="1" ht="14.45" customHeight="1" x14ac:dyDescent="0.2">
      <c r="B20" s="95"/>
      <c r="C20" s="110"/>
      <c r="D20" s="83"/>
    </row>
    <row r="21" spans="2:7" s="1" customFormat="1" ht="15.75" x14ac:dyDescent="0.2">
      <c r="B21" s="60" t="s">
        <v>9</v>
      </c>
      <c r="C21" s="60"/>
      <c r="D21" s="60"/>
    </row>
    <row r="22" spans="2:7" s="1" customFormat="1" ht="15" customHeight="1" x14ac:dyDescent="0.2">
      <c r="B22" s="81"/>
      <c r="C22" s="111"/>
      <c r="D22" s="111"/>
    </row>
    <row r="23" spans="2:7" s="1" customFormat="1" ht="15" customHeight="1" x14ac:dyDescent="0.25">
      <c r="B23" s="81" t="s">
        <v>10</v>
      </c>
      <c r="C23" s="82"/>
      <c r="D23" s="83"/>
    </row>
    <row r="24" spans="2:7" s="1" customFormat="1" ht="15" customHeight="1" x14ac:dyDescent="0.2">
      <c r="B24" s="84" t="s">
        <v>155</v>
      </c>
      <c r="C24" s="85">
        <v>1.4</v>
      </c>
      <c r="D24" s="86">
        <f t="shared" ref="D24:D26" si="2">+$D$4*C24</f>
        <v>971983.40399999986</v>
      </c>
      <c r="E24" s="133" t="s">
        <v>200</v>
      </c>
    </row>
    <row r="25" spans="2:7" s="1" customFormat="1" ht="11.45" customHeight="1" x14ac:dyDescent="0.2">
      <c r="B25" s="87" t="s">
        <v>156</v>
      </c>
      <c r="C25" s="85">
        <v>1.5</v>
      </c>
      <c r="D25" s="86">
        <f t="shared" si="2"/>
        <v>1041410.79</v>
      </c>
      <c r="E25" s="133" t="s">
        <v>200</v>
      </c>
    </row>
    <row r="26" spans="2:7" s="1" customFormat="1" ht="14.45" customHeight="1" x14ac:dyDescent="0.2">
      <c r="B26" s="88" t="s">
        <v>157</v>
      </c>
      <c r="C26" s="85">
        <v>1.7</v>
      </c>
      <c r="D26" s="86">
        <f t="shared" si="2"/>
        <v>1180265.5619999999</v>
      </c>
      <c r="E26" s="133" t="s">
        <v>200</v>
      </c>
    </row>
    <row r="27" spans="2:7" s="1" customFormat="1" ht="15" customHeight="1" x14ac:dyDescent="0.2">
      <c r="B27" s="89"/>
      <c r="C27" s="90"/>
      <c r="D27" s="91"/>
    </row>
    <row r="28" spans="2:7" s="1" customFormat="1" ht="15" customHeight="1" x14ac:dyDescent="0.2">
      <c r="B28" s="81" t="s">
        <v>11</v>
      </c>
      <c r="C28" s="92"/>
      <c r="D28" s="86"/>
    </row>
    <row r="29" spans="2:7" s="1" customFormat="1" ht="15" customHeight="1" x14ac:dyDescent="0.2">
      <c r="B29" s="93" t="s">
        <v>12</v>
      </c>
      <c r="C29" s="85">
        <v>0.9</v>
      </c>
      <c r="D29" s="86">
        <f t="shared" ref="D29:D38" si="3">+$D$4*C29</f>
        <v>624846.47400000005</v>
      </c>
      <c r="E29" s="133" t="s">
        <v>200</v>
      </c>
    </row>
    <row r="30" spans="2:7" s="1" customFormat="1" ht="15" customHeight="1" x14ac:dyDescent="0.2">
      <c r="B30" s="93" t="s">
        <v>13</v>
      </c>
      <c r="C30" s="85">
        <v>1.3</v>
      </c>
      <c r="D30" s="86">
        <f t="shared" si="3"/>
        <v>902556.01800000004</v>
      </c>
      <c r="E30" s="133" t="s">
        <v>200</v>
      </c>
    </row>
    <row r="31" spans="2:7" s="1" customFormat="1" ht="30" customHeight="1" x14ac:dyDescent="0.2">
      <c r="B31" s="93" t="s">
        <v>14</v>
      </c>
      <c r="C31" s="85">
        <v>1.35</v>
      </c>
      <c r="D31" s="86">
        <f t="shared" si="3"/>
        <v>937269.71100000001</v>
      </c>
      <c r="E31" s="133" t="s">
        <v>200</v>
      </c>
    </row>
    <row r="32" spans="2:7" s="1" customFormat="1" ht="30" customHeight="1" x14ac:dyDescent="0.2">
      <c r="B32" s="93" t="s">
        <v>15</v>
      </c>
      <c r="C32" s="85">
        <v>1.4</v>
      </c>
      <c r="D32" s="86">
        <f t="shared" si="3"/>
        <v>971983.40399999986</v>
      </c>
      <c r="E32" s="133" t="s">
        <v>200</v>
      </c>
    </row>
    <row r="33" spans="2:174" s="1" customFormat="1" ht="30" customHeight="1" x14ac:dyDescent="0.2">
      <c r="B33" s="93" t="s">
        <v>158</v>
      </c>
      <c r="C33" s="85">
        <v>1</v>
      </c>
      <c r="D33" s="86">
        <f t="shared" si="3"/>
        <v>694273.86</v>
      </c>
      <c r="E33" s="133" t="s">
        <v>200</v>
      </c>
    </row>
    <row r="34" spans="2:174" s="11" customFormat="1" ht="18" customHeight="1" x14ac:dyDescent="0.2">
      <c r="B34" s="93" t="s">
        <v>16</v>
      </c>
      <c r="C34" s="85">
        <v>1.7</v>
      </c>
      <c r="D34" s="86">
        <f t="shared" si="3"/>
        <v>1180265.5619999999</v>
      </c>
      <c r="E34" s="133" t="s">
        <v>200</v>
      </c>
    </row>
    <row r="35" spans="2:174" s="11" customFormat="1" ht="17.25" customHeight="1" x14ac:dyDescent="0.2">
      <c r="B35" s="93" t="s">
        <v>17</v>
      </c>
      <c r="C35" s="85">
        <v>2</v>
      </c>
      <c r="D35" s="86">
        <f t="shared" si="3"/>
        <v>1388547.72</v>
      </c>
      <c r="E35" s="133" t="s">
        <v>200</v>
      </c>
    </row>
    <row r="36" spans="2:174" s="11" customFormat="1" ht="15" customHeight="1" x14ac:dyDescent="0.2">
      <c r="B36" s="93" t="s">
        <v>18</v>
      </c>
      <c r="C36" s="94">
        <v>0.2</v>
      </c>
      <c r="D36" s="86">
        <f t="shared" si="3"/>
        <v>138854.772</v>
      </c>
      <c r="E36" s="133" t="s">
        <v>200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</row>
    <row r="37" spans="2:174" s="11" customFormat="1" ht="15" customHeight="1" x14ac:dyDescent="0.2">
      <c r="B37" s="93" t="s">
        <v>19</v>
      </c>
      <c r="C37" s="94">
        <v>0.4</v>
      </c>
      <c r="D37" s="86">
        <f t="shared" si="3"/>
        <v>277709.54399999999</v>
      </c>
      <c r="E37" s="133" t="s">
        <v>200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</row>
    <row r="38" spans="2:174" s="16" customFormat="1" ht="15" customHeight="1" x14ac:dyDescent="0.2">
      <c r="B38" s="93" t="s">
        <v>20</v>
      </c>
      <c r="C38" s="94">
        <v>1.5</v>
      </c>
      <c r="D38" s="86">
        <f t="shared" si="3"/>
        <v>1041410.79</v>
      </c>
      <c r="E38" s="133" t="s">
        <v>200</v>
      </c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5"/>
      <c r="BA38" s="355"/>
      <c r="BB38" s="355"/>
      <c r="BC38" s="355"/>
      <c r="BD38" s="355"/>
      <c r="BE38" s="355"/>
      <c r="BF38" s="355"/>
      <c r="BG38" s="355"/>
      <c r="BH38" s="355"/>
      <c r="BI38" s="355"/>
      <c r="BJ38" s="355"/>
      <c r="BK38" s="355"/>
      <c r="BL38" s="355"/>
      <c r="BM38" s="355"/>
      <c r="BN38" s="355"/>
      <c r="BO38" s="355"/>
      <c r="BP38" s="355"/>
      <c r="BQ38" s="355"/>
      <c r="BR38" s="355"/>
      <c r="BS38" s="355"/>
      <c r="BT38" s="355"/>
      <c r="BU38" s="355"/>
      <c r="BV38" s="355"/>
      <c r="BW38" s="355"/>
      <c r="BX38" s="355"/>
      <c r="BY38" s="355"/>
      <c r="BZ38" s="355"/>
      <c r="CA38" s="355"/>
      <c r="CB38" s="355"/>
      <c r="CC38" s="355"/>
      <c r="CD38" s="355"/>
      <c r="CE38" s="355"/>
      <c r="CF38" s="355"/>
      <c r="CG38" s="355"/>
      <c r="CH38" s="355"/>
      <c r="CI38" s="355"/>
      <c r="CJ38" s="355"/>
      <c r="CK38" s="355"/>
      <c r="CL38" s="355"/>
      <c r="CM38" s="355"/>
      <c r="CN38" s="355"/>
      <c r="CO38" s="355"/>
      <c r="CP38" s="355"/>
      <c r="CQ38" s="355"/>
      <c r="CR38" s="355"/>
      <c r="CS38" s="355"/>
      <c r="CT38" s="355"/>
      <c r="CU38" s="355"/>
      <c r="CV38" s="355"/>
      <c r="CW38" s="355"/>
      <c r="CX38" s="355"/>
      <c r="CY38" s="355"/>
      <c r="CZ38" s="355"/>
      <c r="DA38" s="355"/>
      <c r="DB38" s="355"/>
      <c r="DC38" s="355"/>
      <c r="DD38" s="355"/>
      <c r="DE38" s="355"/>
      <c r="DF38" s="355"/>
      <c r="DG38" s="355"/>
      <c r="DH38" s="355"/>
      <c r="DI38" s="355"/>
      <c r="DJ38" s="355"/>
      <c r="DK38" s="355"/>
      <c r="DL38" s="355"/>
      <c r="DM38" s="355"/>
      <c r="DN38" s="355"/>
      <c r="DO38" s="355"/>
      <c r="DP38" s="355"/>
      <c r="DQ38" s="355"/>
      <c r="DR38" s="355"/>
      <c r="DS38" s="355"/>
      <c r="DT38" s="355"/>
      <c r="DU38" s="355"/>
      <c r="DV38" s="355"/>
      <c r="DW38" s="355"/>
      <c r="DX38" s="355"/>
      <c r="DY38" s="355"/>
      <c r="DZ38" s="355"/>
      <c r="EA38" s="355"/>
      <c r="EB38" s="355"/>
      <c r="EC38" s="355"/>
      <c r="ED38" s="355"/>
      <c r="EE38" s="355"/>
      <c r="EF38" s="355"/>
      <c r="EG38" s="355"/>
      <c r="EH38" s="355"/>
      <c r="EI38" s="355"/>
      <c r="EJ38" s="355"/>
      <c r="EK38" s="355"/>
      <c r="EL38" s="355"/>
      <c r="EM38" s="355"/>
      <c r="EN38" s="355"/>
      <c r="EO38" s="355"/>
      <c r="EP38" s="355"/>
      <c r="EQ38" s="355"/>
      <c r="ER38" s="355"/>
      <c r="ES38" s="355"/>
      <c r="ET38" s="355"/>
      <c r="EU38" s="355"/>
      <c r="EV38" s="355"/>
      <c r="EW38" s="355"/>
      <c r="EX38" s="355"/>
      <c r="EY38" s="355"/>
      <c r="EZ38" s="355"/>
      <c r="FA38" s="355"/>
      <c r="FB38" s="355"/>
      <c r="FC38" s="355"/>
      <c r="FD38" s="355"/>
      <c r="FE38" s="355"/>
      <c r="FF38" s="355"/>
      <c r="FG38" s="355"/>
      <c r="FH38" s="355"/>
      <c r="FI38" s="355"/>
      <c r="FJ38" s="355"/>
      <c r="FK38" s="355"/>
      <c r="FL38" s="355"/>
      <c r="FM38" s="355"/>
      <c r="FN38" s="355"/>
      <c r="FO38" s="355"/>
      <c r="FP38" s="355"/>
      <c r="FQ38" s="355"/>
      <c r="FR38" s="355"/>
    </row>
    <row r="39" spans="2:174" s="48" customFormat="1" ht="15.6" customHeight="1" x14ac:dyDescent="0.2">
      <c r="B39" s="95"/>
      <c r="C39" s="96"/>
      <c r="D39" s="97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</row>
    <row r="40" spans="2:174" s="48" customFormat="1" ht="30" customHeight="1" x14ac:dyDescent="0.2">
      <c r="B40" s="60" t="s">
        <v>21</v>
      </c>
      <c r="C40" s="61"/>
      <c r="D40" s="61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</row>
    <row r="41" spans="2:174" s="48" customFormat="1" ht="30" customHeight="1" x14ac:dyDescent="0.2">
      <c r="B41" s="98" t="s">
        <v>159</v>
      </c>
      <c r="C41" s="99">
        <v>0.3</v>
      </c>
      <c r="D41" s="86">
        <f t="shared" ref="D41:D49" si="4">+$D$4*C41</f>
        <v>208282.158</v>
      </c>
      <c r="E41" s="133" t="s">
        <v>200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</row>
    <row r="42" spans="2:174" s="16" customFormat="1" ht="30" customHeight="1" x14ac:dyDescent="0.2">
      <c r="B42" s="100" t="s">
        <v>160</v>
      </c>
      <c r="C42" s="101">
        <v>0.4</v>
      </c>
      <c r="D42" s="86">
        <f t="shared" si="4"/>
        <v>277709.54399999999</v>
      </c>
      <c r="E42" s="133" t="s">
        <v>200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</row>
    <row r="43" spans="2:174" s="16" customFormat="1" ht="30" customHeight="1" x14ac:dyDescent="0.2">
      <c r="B43" s="100" t="s">
        <v>161</v>
      </c>
      <c r="C43" s="101">
        <v>0.6</v>
      </c>
      <c r="D43" s="86">
        <f t="shared" si="4"/>
        <v>416564.31599999999</v>
      </c>
      <c r="E43" s="133" t="s">
        <v>200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</row>
    <row r="44" spans="2:174" s="18" customFormat="1" ht="30" customHeight="1" x14ac:dyDescent="0.2">
      <c r="B44" s="100" t="s">
        <v>162</v>
      </c>
      <c r="C44" s="102">
        <v>0.4</v>
      </c>
      <c r="D44" s="86">
        <f t="shared" si="4"/>
        <v>277709.54399999999</v>
      </c>
      <c r="E44" s="133" t="s">
        <v>200</v>
      </c>
      <c r="F44" s="305"/>
      <c r="G44" s="305"/>
      <c r="H44" s="305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352"/>
      <c r="CC44" s="352"/>
      <c r="CD44" s="352"/>
      <c r="CE44" s="352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  <c r="CW44" s="352"/>
      <c r="CX44" s="352"/>
      <c r="CY44" s="352"/>
      <c r="CZ44" s="352"/>
      <c r="DA44" s="352"/>
      <c r="DB44" s="352"/>
      <c r="DC44" s="352"/>
      <c r="DD44" s="352"/>
      <c r="DE44" s="352"/>
      <c r="DF44" s="352"/>
      <c r="DG44" s="352"/>
      <c r="DH44" s="352"/>
      <c r="DI44" s="352"/>
      <c r="DJ44" s="352"/>
      <c r="DK44" s="352"/>
      <c r="DL44" s="352"/>
      <c r="DM44" s="352"/>
      <c r="DN44" s="352"/>
      <c r="DO44" s="352"/>
      <c r="DP44" s="352"/>
      <c r="DQ44" s="352"/>
      <c r="DR44" s="352"/>
      <c r="DS44" s="352"/>
      <c r="DT44" s="352"/>
      <c r="DU44" s="352"/>
      <c r="DV44" s="352"/>
      <c r="DW44" s="352"/>
      <c r="DX44" s="352"/>
      <c r="DY44" s="352"/>
      <c r="DZ44" s="352"/>
      <c r="EA44" s="352"/>
      <c r="EB44" s="352"/>
      <c r="EC44" s="352"/>
      <c r="ED44" s="352"/>
      <c r="EE44" s="352"/>
      <c r="EF44" s="352"/>
      <c r="EG44" s="352"/>
      <c r="EH44" s="352"/>
      <c r="EI44" s="352"/>
      <c r="EJ44" s="352"/>
      <c r="EK44" s="352"/>
      <c r="EL44" s="352"/>
      <c r="EM44" s="352"/>
      <c r="EN44" s="352"/>
      <c r="EO44" s="352"/>
      <c r="EP44" s="352"/>
      <c r="EQ44" s="352"/>
      <c r="ER44" s="352"/>
      <c r="ES44" s="352"/>
      <c r="ET44" s="352"/>
      <c r="EU44" s="352"/>
      <c r="EV44" s="352"/>
      <c r="EW44" s="352"/>
      <c r="EX44" s="352"/>
      <c r="EY44" s="352"/>
      <c r="EZ44" s="352"/>
      <c r="FA44" s="352"/>
      <c r="FB44" s="352"/>
      <c r="FC44" s="352"/>
      <c r="FD44" s="352"/>
      <c r="FE44" s="352"/>
      <c r="FF44" s="352"/>
      <c r="FG44" s="352"/>
      <c r="FH44" s="352"/>
      <c r="FI44" s="352"/>
      <c r="FJ44" s="352"/>
      <c r="FK44" s="352"/>
      <c r="FL44" s="352"/>
      <c r="FM44" s="352"/>
      <c r="FN44" s="352"/>
      <c r="FO44" s="352"/>
      <c r="FP44" s="352"/>
      <c r="FQ44" s="352"/>
      <c r="FR44" s="9"/>
    </row>
    <row r="45" spans="2:174" s="19" customFormat="1" ht="34.9" customHeight="1" x14ac:dyDescent="0.2">
      <c r="B45" s="100" t="s">
        <v>163</v>
      </c>
      <c r="C45" s="102">
        <v>0.5</v>
      </c>
      <c r="D45" s="86">
        <f t="shared" si="4"/>
        <v>347136.93</v>
      </c>
      <c r="E45" s="133" t="s">
        <v>200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</row>
    <row r="46" spans="2:174" s="19" customFormat="1" ht="27" customHeight="1" x14ac:dyDescent="0.2">
      <c r="B46" s="100" t="s">
        <v>164</v>
      </c>
      <c r="C46" s="101">
        <v>0.55000000000000004</v>
      </c>
      <c r="D46" s="86">
        <f t="shared" si="4"/>
        <v>381850.62300000002</v>
      </c>
      <c r="E46" s="133" t="s">
        <v>200</v>
      </c>
    </row>
    <row r="47" spans="2:174" s="19" customFormat="1" ht="30" customHeight="1" x14ac:dyDescent="0.2">
      <c r="B47" s="100" t="s">
        <v>165</v>
      </c>
      <c r="C47" s="101">
        <v>0.6</v>
      </c>
      <c r="D47" s="86">
        <f t="shared" si="4"/>
        <v>416564.31599999999</v>
      </c>
      <c r="E47" s="133" t="s">
        <v>200</v>
      </c>
    </row>
    <row r="48" spans="2:174" s="19" customFormat="1" ht="27.75" customHeight="1" x14ac:dyDescent="0.2">
      <c r="B48" s="100" t="s">
        <v>166</v>
      </c>
      <c r="C48" s="101">
        <v>0.65</v>
      </c>
      <c r="D48" s="86">
        <f t="shared" si="4"/>
        <v>451278.00900000002</v>
      </c>
      <c r="E48" s="133" t="s">
        <v>200</v>
      </c>
    </row>
    <row r="49" spans="2:5" s="19" customFormat="1" ht="30.75" customHeight="1" x14ac:dyDescent="0.2">
      <c r="B49" s="100" t="s">
        <v>167</v>
      </c>
      <c r="C49" s="101">
        <v>0.7</v>
      </c>
      <c r="D49" s="86">
        <f t="shared" si="4"/>
        <v>485991.70199999993</v>
      </c>
      <c r="E49" s="133" t="s">
        <v>200</v>
      </c>
    </row>
    <row r="50" spans="2:5" s="19" customFormat="1" ht="30" customHeight="1" x14ac:dyDescent="0.2">
      <c r="B50" s="74"/>
      <c r="C50" s="17"/>
      <c r="D50" s="50"/>
    </row>
    <row r="51" spans="2:5" s="19" customFormat="1" ht="30" customHeight="1" x14ac:dyDescent="0.2">
      <c r="B51" s="60" t="s">
        <v>22</v>
      </c>
      <c r="C51" s="61"/>
      <c r="D51" s="62"/>
    </row>
    <row r="52" spans="2:5" s="19" customFormat="1" ht="18" customHeight="1" x14ac:dyDescent="0.2">
      <c r="B52" s="39" t="s">
        <v>23</v>
      </c>
      <c r="C52" s="49">
        <v>1.2</v>
      </c>
      <c r="D52" s="51">
        <f t="shared" ref="D52:D60" si="5">+$D$4*C52</f>
        <v>833128.63199999998</v>
      </c>
      <c r="E52" s="133" t="s">
        <v>200</v>
      </c>
    </row>
    <row r="53" spans="2:5" s="16" customFormat="1" ht="15" customHeight="1" x14ac:dyDescent="0.2">
      <c r="B53" s="38" t="s">
        <v>168</v>
      </c>
      <c r="C53" s="17">
        <v>1.2</v>
      </c>
      <c r="D53" s="13">
        <f t="shared" si="5"/>
        <v>833128.63199999998</v>
      </c>
      <c r="E53" s="133" t="s">
        <v>200</v>
      </c>
    </row>
    <row r="54" spans="2:5" s="11" customFormat="1" ht="15" customHeight="1" x14ac:dyDescent="0.2">
      <c r="B54" s="38" t="s">
        <v>24</v>
      </c>
      <c r="C54" s="17">
        <v>1.4</v>
      </c>
      <c r="D54" s="13">
        <f t="shared" si="5"/>
        <v>971983.40399999986</v>
      </c>
      <c r="E54" s="133" t="s">
        <v>200</v>
      </c>
    </row>
    <row r="55" spans="2:5" s="11" customFormat="1" ht="15" customHeight="1" x14ac:dyDescent="0.2">
      <c r="B55" s="63" t="s">
        <v>25</v>
      </c>
      <c r="C55" s="17">
        <v>1</v>
      </c>
      <c r="D55" s="13">
        <f t="shared" si="5"/>
        <v>694273.86</v>
      </c>
      <c r="E55" s="133" t="s">
        <v>200</v>
      </c>
    </row>
    <row r="56" spans="2:5" s="11" customFormat="1" ht="15" customHeight="1" x14ac:dyDescent="0.2">
      <c r="B56" s="38" t="s">
        <v>26</v>
      </c>
      <c r="C56" s="17">
        <v>1.4</v>
      </c>
      <c r="D56" s="13">
        <f t="shared" si="5"/>
        <v>971983.40399999986</v>
      </c>
      <c r="E56" s="133" t="s">
        <v>200</v>
      </c>
    </row>
    <row r="57" spans="2:5" s="1" customFormat="1" ht="15" customHeight="1" x14ac:dyDescent="0.2">
      <c r="B57" s="38" t="s">
        <v>27</v>
      </c>
      <c r="C57" s="17">
        <v>1</v>
      </c>
      <c r="D57" s="13">
        <f t="shared" si="5"/>
        <v>694273.86</v>
      </c>
      <c r="E57" s="133" t="s">
        <v>200</v>
      </c>
    </row>
    <row r="58" spans="2:5" s="1" customFormat="1" ht="15" x14ac:dyDescent="0.2">
      <c r="B58" s="38" t="s">
        <v>28</v>
      </c>
      <c r="C58" s="17">
        <v>0.6</v>
      </c>
      <c r="D58" s="13">
        <f t="shared" si="5"/>
        <v>416564.31599999999</v>
      </c>
      <c r="E58" s="133" t="s">
        <v>200</v>
      </c>
    </row>
    <row r="59" spans="2:5" s="1" customFormat="1" ht="15.6" customHeight="1" x14ac:dyDescent="0.2">
      <c r="B59" s="38" t="s">
        <v>29</v>
      </c>
      <c r="C59" s="17">
        <v>0.6</v>
      </c>
      <c r="D59" s="13">
        <f t="shared" si="5"/>
        <v>416564.31599999999</v>
      </c>
      <c r="E59" s="133" t="s">
        <v>200</v>
      </c>
    </row>
    <row r="60" spans="2:5" s="16" customFormat="1" ht="15" customHeight="1" x14ac:dyDescent="0.2">
      <c r="B60" s="38" t="s">
        <v>30</v>
      </c>
      <c r="C60" s="20">
        <v>0.6</v>
      </c>
      <c r="D60" s="13">
        <f t="shared" si="5"/>
        <v>416564.31599999999</v>
      </c>
      <c r="E60" s="133" t="s">
        <v>200</v>
      </c>
    </row>
    <row r="61" spans="2:5" s="16" customFormat="1" ht="15" customHeight="1" x14ac:dyDescent="0.2">
      <c r="B61" s="21"/>
      <c r="C61" s="10"/>
      <c r="D61" s="22"/>
    </row>
    <row r="62" spans="2:5" s="16" customFormat="1" ht="15.75" x14ac:dyDescent="0.2">
      <c r="B62" s="75" t="s">
        <v>31</v>
      </c>
      <c r="C62" s="76"/>
      <c r="D62" s="77"/>
    </row>
    <row r="63" spans="2:5" s="16" customFormat="1" ht="15" x14ac:dyDescent="0.2">
      <c r="B63" s="40" t="s">
        <v>32</v>
      </c>
      <c r="C63" s="14">
        <v>1.3</v>
      </c>
      <c r="D63" s="13">
        <f t="shared" ref="D63:D65" si="6">+$D$4*C63</f>
        <v>902556.01800000004</v>
      </c>
      <c r="E63" s="133" t="s">
        <v>200</v>
      </c>
    </row>
    <row r="64" spans="2:5" s="16" customFormat="1" ht="15" x14ac:dyDescent="0.2">
      <c r="B64" s="40" t="s">
        <v>33</v>
      </c>
      <c r="C64" s="14">
        <v>1.6</v>
      </c>
      <c r="D64" s="13">
        <f t="shared" si="6"/>
        <v>1110838.176</v>
      </c>
      <c r="E64" s="133" t="s">
        <v>200</v>
      </c>
    </row>
    <row r="65" spans="1:54" s="16" customFormat="1" ht="15" x14ac:dyDescent="0.2">
      <c r="B65" s="40" t="s">
        <v>34</v>
      </c>
      <c r="C65" s="5">
        <v>1.8</v>
      </c>
      <c r="D65" s="13">
        <f t="shared" si="6"/>
        <v>1249692.9480000001</v>
      </c>
      <c r="E65" s="133" t="s">
        <v>200</v>
      </c>
    </row>
    <row r="66" spans="1:54" s="1" customFormat="1" ht="15" x14ac:dyDescent="0.2">
      <c r="B66" s="6"/>
      <c r="C66" s="7"/>
      <c r="D66" s="15"/>
    </row>
    <row r="67" spans="1:54" s="1" customFormat="1" ht="15.75" x14ac:dyDescent="0.2">
      <c r="B67" s="75" t="s">
        <v>35</v>
      </c>
      <c r="C67" s="76"/>
      <c r="D67" s="77"/>
    </row>
    <row r="68" spans="1:54" s="1" customFormat="1" ht="15" customHeight="1" x14ac:dyDescent="0.2">
      <c r="B68" s="38" t="s">
        <v>36</v>
      </c>
      <c r="C68" s="23">
        <v>1.6</v>
      </c>
      <c r="D68" s="13">
        <f t="shared" ref="D68:D85" si="7">+$D$4*C68</f>
        <v>1110838.176</v>
      </c>
      <c r="E68" s="133" t="s">
        <v>200</v>
      </c>
    </row>
    <row r="69" spans="1:54" s="1" customFormat="1" ht="15" customHeight="1" x14ac:dyDescent="0.2">
      <c r="B69" s="38" t="s">
        <v>37</v>
      </c>
      <c r="C69" s="23">
        <v>1.6</v>
      </c>
      <c r="D69" s="13">
        <f t="shared" si="7"/>
        <v>1110838.176</v>
      </c>
      <c r="E69" s="133" t="s">
        <v>200</v>
      </c>
    </row>
    <row r="70" spans="1:54" s="1" customFormat="1" ht="15" x14ac:dyDescent="0.2">
      <c r="B70" s="38" t="s">
        <v>38</v>
      </c>
      <c r="C70" s="23">
        <v>1.6</v>
      </c>
      <c r="D70" s="13">
        <f t="shared" si="7"/>
        <v>1110838.176</v>
      </c>
      <c r="E70" s="133" t="s">
        <v>200</v>
      </c>
    </row>
    <row r="71" spans="1:54" s="1" customFormat="1" ht="15" customHeight="1" x14ac:dyDescent="0.2">
      <c r="B71" s="38" t="s">
        <v>39</v>
      </c>
      <c r="C71" s="23">
        <v>1.6</v>
      </c>
      <c r="D71" s="13">
        <f t="shared" si="7"/>
        <v>1110838.176</v>
      </c>
      <c r="E71" s="133" t="s">
        <v>200</v>
      </c>
    </row>
    <row r="72" spans="1:54" s="1" customFormat="1" ht="15" customHeight="1" x14ac:dyDescent="0.2">
      <c r="B72" s="38" t="s">
        <v>40</v>
      </c>
      <c r="C72" s="23">
        <v>1.8</v>
      </c>
      <c r="D72" s="13">
        <f t="shared" si="7"/>
        <v>1249692.9480000001</v>
      </c>
      <c r="E72" s="133" t="s">
        <v>200</v>
      </c>
    </row>
    <row r="73" spans="1:54" s="1" customFormat="1" ht="15" customHeight="1" x14ac:dyDescent="0.2">
      <c r="B73" s="38" t="s">
        <v>41</v>
      </c>
      <c r="C73" s="23">
        <v>1.8</v>
      </c>
      <c r="D73" s="13">
        <f t="shared" si="7"/>
        <v>1249692.9480000001</v>
      </c>
      <c r="E73" s="133" t="s">
        <v>200</v>
      </c>
    </row>
    <row r="74" spans="1:54" s="1" customFormat="1" ht="15" x14ac:dyDescent="0.2">
      <c r="B74" s="38" t="s">
        <v>42</v>
      </c>
      <c r="C74" s="23">
        <v>1.8</v>
      </c>
      <c r="D74" s="13">
        <f t="shared" si="7"/>
        <v>1249692.9480000001</v>
      </c>
      <c r="E74" s="133" t="s">
        <v>200</v>
      </c>
    </row>
    <row r="75" spans="1:54" ht="15" x14ac:dyDescent="0.2">
      <c r="B75" s="38" t="s">
        <v>43</v>
      </c>
      <c r="C75" s="23">
        <v>1.5</v>
      </c>
      <c r="D75" s="13">
        <f t="shared" si="7"/>
        <v>1041410.79</v>
      </c>
      <c r="E75" s="133" t="s">
        <v>200</v>
      </c>
    </row>
    <row r="76" spans="1:54" s="16" customFormat="1" ht="15" customHeight="1" x14ac:dyDescent="0.2">
      <c r="B76" s="39" t="s">
        <v>44</v>
      </c>
      <c r="C76" s="23">
        <v>2</v>
      </c>
      <c r="D76" s="13">
        <f t="shared" si="7"/>
        <v>1388547.72</v>
      </c>
      <c r="E76" s="133" t="s">
        <v>200</v>
      </c>
    </row>
    <row r="77" spans="1:54" s="16" customFormat="1" ht="15" customHeight="1" x14ac:dyDescent="0.2">
      <c r="B77" s="38" t="s">
        <v>45</v>
      </c>
      <c r="C77" s="23">
        <v>0.8</v>
      </c>
      <c r="D77" s="13">
        <f t="shared" si="7"/>
        <v>555419.08799999999</v>
      </c>
      <c r="E77" s="133" t="s">
        <v>200</v>
      </c>
    </row>
    <row r="78" spans="1:54" s="1" customFormat="1" ht="15" x14ac:dyDescent="0.2">
      <c r="B78" s="38" t="s">
        <v>46</v>
      </c>
      <c r="C78" s="23">
        <v>1.2</v>
      </c>
      <c r="D78" s="13">
        <f t="shared" si="7"/>
        <v>833128.63199999998</v>
      </c>
      <c r="E78" s="133" t="s">
        <v>200</v>
      </c>
    </row>
    <row r="79" spans="1:54" s="27" customFormat="1" ht="15.6" customHeight="1" x14ac:dyDescent="0.2">
      <c r="A79" s="55"/>
      <c r="B79" s="38" t="s">
        <v>47</v>
      </c>
      <c r="C79" s="23">
        <v>1.7</v>
      </c>
      <c r="D79" s="13">
        <f t="shared" si="7"/>
        <v>1180265.5619999999</v>
      </c>
      <c r="E79" s="133" t="s">
        <v>200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</row>
    <row r="80" spans="1:54" s="1" customFormat="1" ht="15" customHeight="1" x14ac:dyDescent="0.2">
      <c r="B80" s="38" t="s">
        <v>48</v>
      </c>
      <c r="C80" s="23">
        <v>1.7</v>
      </c>
      <c r="D80" s="13">
        <f t="shared" si="7"/>
        <v>1180265.5619999999</v>
      </c>
      <c r="E80" s="133" t="s">
        <v>200</v>
      </c>
    </row>
    <row r="81" spans="2:174" s="1" customFormat="1" ht="15" customHeight="1" x14ac:dyDescent="0.2">
      <c r="B81" s="35" t="s">
        <v>49</v>
      </c>
      <c r="C81" s="23">
        <v>1.7</v>
      </c>
      <c r="D81" s="13">
        <f t="shared" si="7"/>
        <v>1180265.5619999999</v>
      </c>
      <c r="E81" s="133" t="s">
        <v>200</v>
      </c>
    </row>
    <row r="82" spans="2:174" s="1" customFormat="1" ht="15" customHeight="1" x14ac:dyDescent="0.2">
      <c r="B82" s="35" t="s">
        <v>50</v>
      </c>
      <c r="C82" s="23">
        <v>1.7</v>
      </c>
      <c r="D82" s="13">
        <f t="shared" si="7"/>
        <v>1180265.5619999999</v>
      </c>
      <c r="E82" s="133" t="s">
        <v>200</v>
      </c>
    </row>
    <row r="83" spans="2:174" s="1" customFormat="1" ht="15" customHeight="1" x14ac:dyDescent="0.2">
      <c r="B83" s="35" t="s">
        <v>51</v>
      </c>
      <c r="C83" s="23">
        <v>1.7</v>
      </c>
      <c r="D83" s="13">
        <f t="shared" si="7"/>
        <v>1180265.5619999999</v>
      </c>
      <c r="E83" s="133" t="s">
        <v>200</v>
      </c>
    </row>
    <row r="84" spans="2:174" s="1" customFormat="1" ht="15" customHeight="1" x14ac:dyDescent="0.2">
      <c r="B84" s="35" t="s">
        <v>52</v>
      </c>
      <c r="C84" s="23">
        <v>1</v>
      </c>
      <c r="D84" s="13">
        <f t="shared" si="7"/>
        <v>694273.86</v>
      </c>
      <c r="E84" s="133" t="s">
        <v>200</v>
      </c>
    </row>
    <row r="85" spans="2:174" s="1" customFormat="1" ht="15" customHeight="1" x14ac:dyDescent="0.2">
      <c r="B85" s="35" t="s">
        <v>109</v>
      </c>
      <c r="C85" s="23">
        <v>2</v>
      </c>
      <c r="D85" s="13">
        <f t="shared" si="7"/>
        <v>1388547.72</v>
      </c>
      <c r="E85" s="133" t="s">
        <v>200</v>
      </c>
    </row>
    <row r="86" spans="2:174" s="1" customFormat="1" ht="15" customHeight="1" x14ac:dyDescent="0.2">
      <c r="B86" s="21"/>
      <c r="C86" s="24"/>
      <c r="D86" s="25"/>
    </row>
    <row r="87" spans="2:174" s="16" customFormat="1" ht="15.75" x14ac:dyDescent="0.2">
      <c r="B87" s="75" t="s">
        <v>53</v>
      </c>
      <c r="C87" s="76"/>
      <c r="D87" s="77"/>
    </row>
    <row r="88" spans="2:174" s="16" customFormat="1" ht="15.75" x14ac:dyDescent="0.2">
      <c r="B88" s="38" t="s">
        <v>54</v>
      </c>
      <c r="C88" s="23">
        <v>1.6</v>
      </c>
      <c r="D88" s="13">
        <f t="shared" ref="D88:D89" si="8">+$D$4*C88</f>
        <v>1110838.176</v>
      </c>
      <c r="E88" s="133" t="s">
        <v>200</v>
      </c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353"/>
      <c r="R88" s="353"/>
      <c r="S88" s="353"/>
      <c r="T88" s="353"/>
      <c r="U88" s="353"/>
      <c r="V88" s="353"/>
      <c r="W88" s="353"/>
      <c r="X88" s="353"/>
      <c r="Y88" s="353"/>
      <c r="Z88" s="353"/>
      <c r="AA88" s="353"/>
      <c r="AB88" s="353"/>
      <c r="AC88" s="353"/>
      <c r="AD88" s="353"/>
      <c r="AE88" s="353"/>
      <c r="AF88" s="353"/>
      <c r="AG88" s="353"/>
      <c r="AH88" s="353"/>
      <c r="AI88" s="353"/>
      <c r="AJ88" s="353"/>
      <c r="AK88" s="353"/>
      <c r="AL88" s="353"/>
      <c r="AM88" s="353"/>
      <c r="AN88" s="353"/>
      <c r="AO88" s="353"/>
      <c r="AP88" s="353"/>
      <c r="AQ88" s="353"/>
      <c r="AR88" s="353"/>
      <c r="AS88" s="353"/>
      <c r="AT88" s="353"/>
      <c r="AU88" s="353"/>
      <c r="AV88" s="353"/>
      <c r="AW88" s="353"/>
      <c r="AX88" s="353"/>
      <c r="AY88" s="353"/>
      <c r="AZ88" s="354"/>
      <c r="BA88" s="354"/>
      <c r="BB88" s="354"/>
      <c r="BC88" s="354"/>
      <c r="BD88" s="354"/>
      <c r="BE88" s="354"/>
      <c r="BF88" s="354"/>
      <c r="BG88" s="354"/>
      <c r="BH88" s="354"/>
      <c r="BI88" s="354"/>
      <c r="BJ88" s="354"/>
      <c r="BK88" s="354"/>
      <c r="BL88" s="354"/>
      <c r="BM88" s="354"/>
      <c r="BN88" s="354"/>
      <c r="BO88" s="354"/>
      <c r="BP88" s="354"/>
      <c r="BQ88" s="354"/>
      <c r="BR88" s="354"/>
      <c r="BS88" s="354"/>
      <c r="BT88" s="354"/>
      <c r="BU88" s="354"/>
      <c r="BV88" s="354"/>
      <c r="BW88" s="354"/>
      <c r="BX88" s="354"/>
      <c r="BY88" s="354"/>
      <c r="BZ88" s="354"/>
      <c r="CA88" s="354"/>
      <c r="CB88" s="354"/>
      <c r="CC88" s="354"/>
      <c r="CD88" s="354"/>
      <c r="CE88" s="354"/>
      <c r="CF88" s="354"/>
      <c r="CG88" s="354"/>
      <c r="CH88" s="354"/>
      <c r="CI88" s="354"/>
      <c r="CJ88" s="354"/>
      <c r="CK88" s="354"/>
      <c r="CL88" s="354"/>
      <c r="CM88" s="354"/>
      <c r="CN88" s="354"/>
      <c r="CO88" s="354"/>
      <c r="CP88" s="354"/>
      <c r="CQ88" s="354"/>
      <c r="CR88" s="354"/>
      <c r="CS88" s="354"/>
      <c r="CT88" s="354"/>
      <c r="CU88" s="354"/>
      <c r="CV88" s="354"/>
      <c r="CW88" s="354"/>
      <c r="CX88" s="354"/>
      <c r="CY88" s="354"/>
      <c r="CZ88" s="354"/>
      <c r="DA88" s="354"/>
      <c r="DB88" s="354"/>
      <c r="DC88" s="354"/>
      <c r="DD88" s="354"/>
      <c r="DE88" s="354"/>
      <c r="DF88" s="354"/>
      <c r="DG88" s="354"/>
      <c r="DH88" s="354"/>
      <c r="DI88" s="354"/>
      <c r="DJ88" s="354"/>
      <c r="DK88" s="354"/>
      <c r="DL88" s="354"/>
      <c r="DM88" s="354"/>
      <c r="DN88" s="354"/>
      <c r="DO88" s="354"/>
      <c r="DP88" s="354"/>
      <c r="DQ88" s="354"/>
      <c r="DR88" s="354"/>
      <c r="DS88" s="354"/>
      <c r="DT88" s="354"/>
      <c r="DU88" s="354"/>
      <c r="DV88" s="354"/>
      <c r="DW88" s="354"/>
      <c r="DX88" s="354"/>
      <c r="DY88" s="354"/>
      <c r="DZ88" s="354"/>
      <c r="EA88" s="354"/>
      <c r="EB88" s="354"/>
      <c r="EC88" s="354"/>
      <c r="ED88" s="354"/>
      <c r="EE88" s="354"/>
      <c r="EF88" s="354"/>
      <c r="EG88" s="354"/>
      <c r="EH88" s="354"/>
      <c r="EI88" s="354"/>
      <c r="EJ88" s="354"/>
      <c r="EK88" s="354"/>
      <c r="EL88" s="354"/>
      <c r="EM88" s="354"/>
      <c r="EN88" s="354"/>
      <c r="EO88" s="354"/>
      <c r="EP88" s="354"/>
      <c r="EQ88" s="354"/>
      <c r="ER88" s="354"/>
      <c r="ES88" s="354"/>
      <c r="ET88" s="354"/>
      <c r="EU88" s="354"/>
      <c r="EV88" s="354"/>
      <c r="EW88" s="354"/>
      <c r="EX88" s="354"/>
      <c r="EY88" s="354"/>
      <c r="EZ88" s="354"/>
      <c r="FA88" s="354"/>
      <c r="FB88" s="354"/>
      <c r="FC88" s="354"/>
      <c r="FD88" s="354"/>
      <c r="FE88" s="354"/>
      <c r="FF88" s="354"/>
      <c r="FG88" s="354"/>
      <c r="FH88" s="354"/>
      <c r="FI88" s="354"/>
      <c r="FJ88" s="354"/>
      <c r="FK88" s="354"/>
      <c r="FL88" s="354"/>
      <c r="FM88" s="354"/>
      <c r="FN88" s="354"/>
      <c r="FO88" s="354"/>
      <c r="FP88" s="354"/>
      <c r="FQ88" s="354"/>
      <c r="FR88" s="354"/>
    </row>
    <row r="89" spans="2:174" s="16" customFormat="1" ht="15" customHeight="1" x14ac:dyDescent="0.2">
      <c r="B89" s="38" t="s">
        <v>55</v>
      </c>
      <c r="C89" s="23">
        <v>2</v>
      </c>
      <c r="D89" s="13">
        <f t="shared" si="8"/>
        <v>1388547.72</v>
      </c>
      <c r="E89" s="133" t="s">
        <v>200</v>
      </c>
      <c r="F89" s="305"/>
      <c r="G89" s="305"/>
      <c r="H89" s="305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2"/>
      <c r="AA89" s="352"/>
      <c r="AB89" s="352"/>
      <c r="AC89" s="352"/>
      <c r="AD89" s="352"/>
      <c r="AE89" s="352"/>
      <c r="AF89" s="352"/>
      <c r="AG89" s="352"/>
      <c r="AH89" s="352"/>
      <c r="AI89" s="352"/>
      <c r="AJ89" s="352"/>
      <c r="AK89" s="352"/>
      <c r="AL89" s="352"/>
      <c r="AM89" s="352"/>
      <c r="AN89" s="352"/>
      <c r="AO89" s="352"/>
      <c r="AP89" s="352"/>
      <c r="AQ89" s="352"/>
      <c r="AR89" s="352"/>
      <c r="AS89" s="352"/>
      <c r="AT89" s="352"/>
      <c r="AU89" s="352"/>
      <c r="AV89" s="352"/>
      <c r="AW89" s="352"/>
      <c r="AX89" s="352"/>
      <c r="AY89" s="352"/>
      <c r="AZ89" s="352"/>
      <c r="BA89" s="352"/>
      <c r="BB89" s="352"/>
      <c r="BC89" s="352"/>
      <c r="BD89" s="352"/>
      <c r="BE89" s="352"/>
      <c r="BF89" s="352"/>
      <c r="BG89" s="352"/>
      <c r="BH89" s="352"/>
      <c r="BI89" s="352"/>
      <c r="BJ89" s="352"/>
      <c r="BK89" s="352"/>
      <c r="BL89" s="352"/>
      <c r="BM89" s="352"/>
      <c r="BN89" s="352"/>
      <c r="BO89" s="352"/>
      <c r="BP89" s="352"/>
      <c r="BQ89" s="352"/>
      <c r="BR89" s="352"/>
      <c r="BS89" s="352"/>
      <c r="BT89" s="352"/>
      <c r="BU89" s="352"/>
      <c r="BV89" s="352"/>
      <c r="BW89" s="352"/>
      <c r="BX89" s="352"/>
      <c r="BY89" s="352"/>
      <c r="BZ89" s="352"/>
      <c r="CA89" s="352"/>
      <c r="CB89" s="352"/>
      <c r="CC89" s="352"/>
      <c r="CD89" s="352"/>
      <c r="CE89" s="352"/>
      <c r="CF89" s="352"/>
      <c r="CG89" s="352"/>
      <c r="CH89" s="352"/>
      <c r="CI89" s="352"/>
      <c r="CJ89" s="352"/>
      <c r="CK89" s="352"/>
      <c r="CL89" s="352"/>
      <c r="CM89" s="352"/>
      <c r="CN89" s="352"/>
      <c r="CO89" s="352"/>
      <c r="CP89" s="352"/>
      <c r="CQ89" s="352"/>
      <c r="CR89" s="352"/>
      <c r="CS89" s="352"/>
      <c r="CT89" s="352"/>
      <c r="CU89" s="352"/>
      <c r="CV89" s="352"/>
      <c r="CW89" s="352"/>
      <c r="CX89" s="352"/>
      <c r="CY89" s="352"/>
      <c r="CZ89" s="352"/>
      <c r="DA89" s="352"/>
      <c r="DB89" s="352"/>
      <c r="DC89" s="352"/>
      <c r="DD89" s="352"/>
      <c r="DE89" s="352"/>
      <c r="DF89" s="352"/>
      <c r="DG89" s="352"/>
      <c r="DH89" s="352"/>
      <c r="DI89" s="352"/>
      <c r="DJ89" s="352"/>
      <c r="DK89" s="352"/>
      <c r="DL89" s="352"/>
      <c r="DM89" s="352"/>
      <c r="DN89" s="352"/>
      <c r="DO89" s="352"/>
      <c r="DP89" s="352"/>
      <c r="DQ89" s="352"/>
      <c r="DR89" s="352"/>
      <c r="DS89" s="352"/>
      <c r="DT89" s="352"/>
      <c r="DU89" s="352"/>
      <c r="DV89" s="352"/>
      <c r="DW89" s="352"/>
      <c r="DX89" s="352"/>
      <c r="DY89" s="352"/>
      <c r="DZ89" s="352"/>
      <c r="EA89" s="352"/>
      <c r="EB89" s="352"/>
      <c r="EC89" s="352"/>
      <c r="ED89" s="352"/>
      <c r="EE89" s="352"/>
      <c r="EF89" s="352"/>
      <c r="EG89" s="352"/>
      <c r="EH89" s="352"/>
      <c r="EI89" s="352"/>
      <c r="EJ89" s="352"/>
      <c r="EK89" s="352"/>
      <c r="EL89" s="352"/>
      <c r="EM89" s="352"/>
      <c r="EN89" s="352"/>
      <c r="EO89" s="352"/>
      <c r="EP89" s="352"/>
      <c r="EQ89" s="352"/>
      <c r="ER89" s="352"/>
      <c r="ES89" s="352"/>
      <c r="ET89" s="352"/>
      <c r="EU89" s="352"/>
      <c r="EV89" s="352"/>
      <c r="EW89" s="352"/>
      <c r="EX89" s="352"/>
      <c r="EY89" s="352"/>
      <c r="EZ89" s="352"/>
      <c r="FA89" s="352"/>
      <c r="FB89" s="352"/>
      <c r="FC89" s="352"/>
      <c r="FD89" s="352"/>
      <c r="FE89" s="352"/>
      <c r="FF89" s="352"/>
      <c r="FG89" s="352"/>
      <c r="FH89" s="352"/>
      <c r="FI89" s="352"/>
      <c r="FJ89" s="352"/>
      <c r="FK89" s="352"/>
      <c r="FL89" s="352"/>
      <c r="FM89" s="352"/>
      <c r="FN89" s="352"/>
      <c r="FO89" s="352"/>
      <c r="FP89" s="352"/>
      <c r="FQ89" s="352"/>
      <c r="FR89" s="9"/>
    </row>
    <row r="90" spans="2:174" s="16" customFormat="1" ht="15" customHeight="1" x14ac:dyDescent="0.2">
      <c r="B90" s="74"/>
      <c r="C90" s="24"/>
      <c r="D90" s="25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  <c r="BL90" s="352"/>
      <c r="BM90" s="352"/>
      <c r="BN90" s="352"/>
      <c r="BO90" s="352"/>
      <c r="BP90" s="352"/>
      <c r="BQ90" s="352"/>
      <c r="BR90" s="352"/>
      <c r="BS90" s="352"/>
      <c r="BT90" s="352"/>
      <c r="BU90" s="352"/>
      <c r="BV90" s="352"/>
      <c r="BW90" s="352"/>
      <c r="BX90" s="352"/>
      <c r="BY90" s="352"/>
      <c r="BZ90" s="352"/>
      <c r="CA90" s="352"/>
      <c r="CB90" s="352"/>
      <c r="CC90" s="352"/>
      <c r="CD90" s="352"/>
      <c r="CE90" s="352"/>
      <c r="CF90" s="352"/>
      <c r="CG90" s="352"/>
      <c r="CH90" s="352"/>
      <c r="CI90" s="352"/>
      <c r="CJ90" s="352"/>
      <c r="CK90" s="352"/>
      <c r="CL90" s="352"/>
      <c r="CM90" s="352"/>
      <c r="CN90" s="352"/>
      <c r="CO90" s="352"/>
      <c r="CP90" s="352"/>
      <c r="CQ90" s="352"/>
      <c r="CR90" s="352"/>
      <c r="CS90" s="352"/>
      <c r="CT90" s="352"/>
      <c r="CU90" s="352"/>
      <c r="CV90" s="352"/>
      <c r="CW90" s="352"/>
      <c r="CX90" s="352"/>
      <c r="CY90" s="352"/>
      <c r="CZ90" s="352"/>
      <c r="DA90" s="352"/>
      <c r="DB90" s="352"/>
      <c r="DC90" s="352"/>
      <c r="DD90" s="352"/>
      <c r="DE90" s="352"/>
      <c r="DF90" s="352"/>
      <c r="DG90" s="352"/>
      <c r="DH90" s="352"/>
      <c r="DI90" s="352"/>
      <c r="DJ90" s="352"/>
      <c r="DK90" s="352"/>
      <c r="DL90" s="352"/>
      <c r="DM90" s="352"/>
      <c r="DN90" s="352"/>
      <c r="DO90" s="352"/>
      <c r="DP90" s="352"/>
      <c r="DQ90" s="352"/>
      <c r="DR90" s="352"/>
      <c r="DS90" s="352"/>
      <c r="DT90" s="352"/>
      <c r="DU90" s="352"/>
      <c r="DV90" s="352"/>
      <c r="DW90" s="352"/>
      <c r="DX90" s="352"/>
      <c r="DY90" s="352"/>
      <c r="DZ90" s="352"/>
      <c r="EA90" s="352"/>
      <c r="EB90" s="352"/>
      <c r="EC90" s="352"/>
      <c r="ED90" s="352"/>
      <c r="EE90" s="352"/>
      <c r="EF90" s="352"/>
      <c r="EG90" s="352"/>
      <c r="EH90" s="352"/>
      <c r="EI90" s="352"/>
      <c r="EJ90" s="352"/>
      <c r="EK90" s="352"/>
      <c r="EL90" s="352"/>
      <c r="EM90" s="352"/>
      <c r="EN90" s="352"/>
      <c r="EO90" s="352"/>
      <c r="EP90" s="352"/>
      <c r="EQ90" s="352"/>
      <c r="ER90" s="352"/>
      <c r="ES90" s="352"/>
      <c r="ET90" s="352"/>
      <c r="EU90" s="352"/>
      <c r="EV90" s="352"/>
      <c r="EW90" s="352"/>
      <c r="EX90" s="352"/>
      <c r="EY90" s="352"/>
      <c r="EZ90" s="352"/>
      <c r="FA90" s="352"/>
      <c r="FB90" s="352"/>
      <c r="FC90" s="352"/>
      <c r="FD90" s="352"/>
      <c r="FE90" s="352"/>
      <c r="FF90" s="352"/>
      <c r="FG90" s="352"/>
      <c r="FH90" s="352"/>
      <c r="FI90" s="352"/>
      <c r="FJ90" s="352"/>
      <c r="FK90" s="352"/>
      <c r="FL90" s="352"/>
      <c r="FM90" s="352"/>
      <c r="FN90" s="352"/>
      <c r="FO90" s="352"/>
      <c r="FP90" s="352"/>
      <c r="FQ90" s="352"/>
      <c r="FR90" s="9"/>
    </row>
    <row r="91" spans="2:174" s="16" customFormat="1" ht="15" customHeight="1" x14ac:dyDescent="0.2">
      <c r="B91" s="75" t="s">
        <v>56</v>
      </c>
      <c r="C91" s="76"/>
      <c r="D91" s="77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  <c r="BL91" s="352"/>
      <c r="BM91" s="352"/>
      <c r="BN91" s="352"/>
      <c r="BO91" s="352"/>
      <c r="BP91" s="352"/>
      <c r="BQ91" s="352"/>
      <c r="BR91" s="352"/>
      <c r="BS91" s="352"/>
      <c r="BT91" s="352"/>
      <c r="BU91" s="352"/>
      <c r="BV91" s="352"/>
      <c r="BW91" s="352"/>
      <c r="BX91" s="352"/>
      <c r="BY91" s="352"/>
      <c r="BZ91" s="352"/>
      <c r="CA91" s="352"/>
      <c r="CB91" s="352"/>
      <c r="CC91" s="352"/>
      <c r="CD91" s="352"/>
      <c r="CE91" s="352"/>
      <c r="CF91" s="352"/>
      <c r="CG91" s="352"/>
      <c r="CH91" s="352"/>
      <c r="CI91" s="352"/>
      <c r="CJ91" s="352"/>
      <c r="CK91" s="352"/>
      <c r="CL91" s="352"/>
      <c r="CM91" s="352"/>
      <c r="CN91" s="352"/>
      <c r="CO91" s="352"/>
      <c r="CP91" s="352"/>
      <c r="CQ91" s="352"/>
      <c r="CR91" s="352"/>
      <c r="CS91" s="352"/>
      <c r="CT91" s="352"/>
      <c r="CU91" s="352"/>
      <c r="CV91" s="352"/>
      <c r="CW91" s="352"/>
      <c r="CX91" s="352"/>
      <c r="CY91" s="352"/>
      <c r="CZ91" s="352"/>
      <c r="DA91" s="352"/>
      <c r="DB91" s="352"/>
      <c r="DC91" s="352"/>
      <c r="DD91" s="352"/>
      <c r="DE91" s="352"/>
      <c r="DF91" s="352"/>
      <c r="DG91" s="352"/>
      <c r="DH91" s="352"/>
      <c r="DI91" s="352"/>
      <c r="DJ91" s="352"/>
      <c r="DK91" s="352"/>
      <c r="DL91" s="352"/>
      <c r="DM91" s="352"/>
      <c r="DN91" s="352"/>
      <c r="DO91" s="352"/>
      <c r="DP91" s="352"/>
      <c r="DQ91" s="352"/>
      <c r="DR91" s="352"/>
      <c r="DS91" s="352"/>
      <c r="DT91" s="352"/>
      <c r="DU91" s="352"/>
      <c r="DV91" s="352"/>
      <c r="DW91" s="352"/>
      <c r="DX91" s="352"/>
      <c r="DY91" s="352"/>
      <c r="DZ91" s="352"/>
      <c r="EA91" s="352"/>
      <c r="EB91" s="352"/>
      <c r="EC91" s="352"/>
      <c r="ED91" s="352"/>
      <c r="EE91" s="352"/>
      <c r="EF91" s="352"/>
      <c r="EG91" s="352"/>
      <c r="EH91" s="352"/>
      <c r="EI91" s="352"/>
      <c r="EJ91" s="352"/>
      <c r="EK91" s="352"/>
      <c r="EL91" s="352"/>
      <c r="EM91" s="352"/>
      <c r="EN91" s="352"/>
      <c r="EO91" s="352"/>
      <c r="EP91" s="352"/>
      <c r="EQ91" s="352"/>
      <c r="ER91" s="352"/>
      <c r="ES91" s="352"/>
      <c r="ET91" s="352"/>
      <c r="EU91" s="352"/>
      <c r="EV91" s="352"/>
      <c r="EW91" s="352"/>
      <c r="EX91" s="352"/>
      <c r="EY91" s="352"/>
      <c r="EZ91" s="352"/>
      <c r="FA91" s="352"/>
      <c r="FB91" s="352"/>
      <c r="FC91" s="352"/>
      <c r="FD91" s="352"/>
      <c r="FE91" s="352"/>
      <c r="FF91" s="352"/>
      <c r="FG91" s="352"/>
      <c r="FH91" s="352"/>
      <c r="FI91" s="352"/>
      <c r="FJ91" s="352"/>
      <c r="FK91" s="352"/>
      <c r="FL91" s="352"/>
      <c r="FM91" s="352"/>
      <c r="FN91" s="352"/>
      <c r="FO91" s="352"/>
      <c r="FP91" s="352"/>
      <c r="FQ91" s="352"/>
      <c r="FR91" s="9"/>
    </row>
    <row r="92" spans="2:174" s="16" customFormat="1" ht="15" x14ac:dyDescent="0.2">
      <c r="B92" s="38" t="s">
        <v>57</v>
      </c>
      <c r="C92" s="23">
        <v>1.4</v>
      </c>
      <c r="D92" s="13">
        <f t="shared" ref="D92:D99" si="9">+$D$4*C92</f>
        <v>971983.40399999986</v>
      </c>
      <c r="E92" s="133" t="s">
        <v>200</v>
      </c>
      <c r="F92" s="305"/>
      <c r="G92" s="305"/>
      <c r="H92" s="305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  <c r="BL92" s="352"/>
      <c r="BM92" s="352"/>
      <c r="BN92" s="352"/>
      <c r="BO92" s="352"/>
      <c r="BP92" s="352"/>
      <c r="BQ92" s="352"/>
      <c r="BR92" s="352"/>
      <c r="BS92" s="352"/>
      <c r="BT92" s="352"/>
      <c r="BU92" s="352"/>
      <c r="BV92" s="352"/>
      <c r="BW92" s="352"/>
      <c r="BX92" s="352"/>
      <c r="BY92" s="352"/>
      <c r="BZ92" s="352"/>
      <c r="CA92" s="352"/>
      <c r="CB92" s="352"/>
      <c r="CC92" s="352"/>
      <c r="CD92" s="352"/>
      <c r="CE92" s="352"/>
      <c r="CF92" s="352"/>
      <c r="CG92" s="352"/>
      <c r="CH92" s="352"/>
      <c r="CI92" s="352"/>
      <c r="CJ92" s="352"/>
      <c r="CK92" s="352"/>
      <c r="CL92" s="352"/>
      <c r="CM92" s="352"/>
      <c r="CN92" s="352"/>
      <c r="CO92" s="352"/>
      <c r="CP92" s="352"/>
      <c r="CQ92" s="352"/>
      <c r="CR92" s="352"/>
      <c r="CS92" s="352"/>
      <c r="CT92" s="352"/>
      <c r="CU92" s="352"/>
      <c r="CV92" s="352"/>
      <c r="CW92" s="352"/>
      <c r="CX92" s="352"/>
      <c r="CY92" s="352"/>
      <c r="CZ92" s="352"/>
      <c r="DA92" s="352"/>
      <c r="DB92" s="352"/>
      <c r="DC92" s="352"/>
      <c r="DD92" s="352"/>
      <c r="DE92" s="352"/>
      <c r="DF92" s="352"/>
      <c r="DG92" s="352"/>
      <c r="DH92" s="352"/>
      <c r="DI92" s="352"/>
      <c r="DJ92" s="352"/>
      <c r="DK92" s="352"/>
      <c r="DL92" s="352"/>
      <c r="DM92" s="352"/>
      <c r="DN92" s="352"/>
      <c r="DO92" s="352"/>
      <c r="DP92" s="352"/>
      <c r="DQ92" s="352"/>
      <c r="DR92" s="352"/>
      <c r="DS92" s="352"/>
      <c r="DT92" s="352"/>
      <c r="DU92" s="352"/>
      <c r="DV92" s="352"/>
      <c r="DW92" s="352"/>
      <c r="DX92" s="352"/>
      <c r="DY92" s="352"/>
      <c r="DZ92" s="352"/>
      <c r="EA92" s="352"/>
      <c r="EB92" s="352"/>
      <c r="EC92" s="352"/>
      <c r="ED92" s="352"/>
      <c r="EE92" s="352"/>
      <c r="EF92" s="352"/>
      <c r="EG92" s="352"/>
      <c r="EH92" s="352"/>
      <c r="EI92" s="352"/>
      <c r="EJ92" s="352"/>
      <c r="EK92" s="352"/>
      <c r="EL92" s="352"/>
      <c r="EM92" s="352"/>
      <c r="EN92" s="352"/>
      <c r="EO92" s="352"/>
      <c r="EP92" s="352"/>
      <c r="EQ92" s="352"/>
      <c r="ER92" s="352"/>
      <c r="ES92" s="352"/>
      <c r="ET92" s="352"/>
      <c r="EU92" s="352"/>
      <c r="EV92" s="352"/>
      <c r="EW92" s="352"/>
      <c r="EX92" s="352"/>
      <c r="EY92" s="352"/>
      <c r="EZ92" s="352"/>
      <c r="FA92" s="352"/>
      <c r="FB92" s="352"/>
      <c r="FC92" s="352"/>
      <c r="FD92" s="352"/>
      <c r="FE92" s="352"/>
      <c r="FF92" s="352"/>
      <c r="FG92" s="352"/>
      <c r="FH92" s="352"/>
      <c r="FI92" s="352"/>
      <c r="FJ92" s="352"/>
      <c r="FK92" s="352"/>
      <c r="FL92" s="352"/>
      <c r="FM92" s="352"/>
      <c r="FN92" s="352"/>
      <c r="FO92" s="352"/>
      <c r="FP92" s="352"/>
      <c r="FQ92" s="352"/>
      <c r="FR92" s="9"/>
    </row>
    <row r="93" spans="2:174" s="16" customFormat="1" ht="15.6" customHeight="1" x14ac:dyDescent="0.2">
      <c r="B93" s="38" t="s">
        <v>58</v>
      </c>
      <c r="C93" s="23">
        <v>2</v>
      </c>
      <c r="D93" s="13">
        <f t="shared" si="9"/>
        <v>1388547.72</v>
      </c>
      <c r="E93" s="133" t="s">
        <v>200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</row>
    <row r="94" spans="2:174" s="16" customFormat="1" ht="15" x14ac:dyDescent="0.2">
      <c r="B94" s="38" t="s">
        <v>59</v>
      </c>
      <c r="C94" s="23">
        <v>1.5</v>
      </c>
      <c r="D94" s="13">
        <f t="shared" si="9"/>
        <v>1041410.79</v>
      </c>
      <c r="E94" s="133" t="s">
        <v>200</v>
      </c>
    </row>
    <row r="95" spans="2:174" s="16" customFormat="1" ht="15" customHeight="1" x14ac:dyDescent="0.2">
      <c r="B95" s="38" t="s">
        <v>60</v>
      </c>
      <c r="C95" s="23">
        <v>1.2</v>
      </c>
      <c r="D95" s="13">
        <f t="shared" si="9"/>
        <v>833128.63199999998</v>
      </c>
      <c r="E95" s="133" t="s">
        <v>200</v>
      </c>
    </row>
    <row r="96" spans="2:174" s="16" customFormat="1" ht="15" x14ac:dyDescent="0.2">
      <c r="B96" s="38" t="s">
        <v>61</v>
      </c>
      <c r="C96" s="23">
        <v>0.5</v>
      </c>
      <c r="D96" s="13">
        <f t="shared" si="9"/>
        <v>347136.93</v>
      </c>
      <c r="E96" s="133" t="s">
        <v>200</v>
      </c>
    </row>
    <row r="97" spans="2:174" s="16" customFormat="1" ht="15" x14ac:dyDescent="0.2">
      <c r="B97" s="38" t="s">
        <v>62</v>
      </c>
      <c r="C97" s="23">
        <v>1.4</v>
      </c>
      <c r="D97" s="13">
        <f t="shared" si="9"/>
        <v>971983.40399999986</v>
      </c>
      <c r="E97" s="133" t="s">
        <v>200</v>
      </c>
    </row>
    <row r="98" spans="2:174" s="16" customFormat="1" ht="15" x14ac:dyDescent="0.2">
      <c r="B98" s="38" t="s">
        <v>63</v>
      </c>
      <c r="C98" s="23">
        <v>2</v>
      </c>
      <c r="D98" s="13">
        <f t="shared" si="9"/>
        <v>1388547.72</v>
      </c>
      <c r="E98" s="133" t="s">
        <v>200</v>
      </c>
    </row>
    <row r="99" spans="2:174" s="16" customFormat="1" ht="15" customHeight="1" x14ac:dyDescent="0.2">
      <c r="B99" s="38" t="s">
        <v>64</v>
      </c>
      <c r="C99" s="23">
        <v>1</v>
      </c>
      <c r="D99" s="13">
        <f t="shared" si="9"/>
        <v>694273.86</v>
      </c>
      <c r="E99" s="133" t="s">
        <v>200</v>
      </c>
    </row>
    <row r="100" spans="2:174" s="16" customFormat="1" ht="15" x14ac:dyDescent="0.2">
      <c r="B100" s="28"/>
      <c r="C100" s="29"/>
      <c r="D100" s="30"/>
    </row>
    <row r="101" spans="2:174" s="16" customFormat="1" ht="15.75" x14ac:dyDescent="0.2">
      <c r="B101" s="75" t="s">
        <v>65</v>
      </c>
      <c r="C101" s="76"/>
      <c r="D101" s="77"/>
    </row>
    <row r="102" spans="2:174" s="16" customFormat="1" ht="15.6" customHeight="1" x14ac:dyDescent="0.2">
      <c r="B102" s="38" t="s">
        <v>66</v>
      </c>
      <c r="C102" s="20">
        <v>1.3</v>
      </c>
      <c r="D102" s="13">
        <f t="shared" ref="D102:D113" si="10">+$D$4*C102</f>
        <v>902556.01800000004</v>
      </c>
      <c r="E102" s="133" t="s">
        <v>200</v>
      </c>
      <c r="F102" s="353"/>
      <c r="G102" s="353"/>
      <c r="H102" s="353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3"/>
      <c r="AK102" s="353"/>
      <c r="AL102" s="353"/>
      <c r="AM102" s="353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3"/>
      <c r="AX102" s="353"/>
      <c r="AY102" s="353"/>
      <c r="AZ102" s="353"/>
      <c r="BA102" s="353"/>
      <c r="BB102" s="353"/>
      <c r="BC102" s="353"/>
      <c r="BD102" s="353"/>
      <c r="BE102" s="353"/>
      <c r="BF102" s="353"/>
      <c r="BG102" s="353"/>
      <c r="BH102" s="353"/>
      <c r="BI102" s="353"/>
      <c r="BJ102" s="353"/>
      <c r="BK102" s="353"/>
      <c r="BL102" s="353"/>
      <c r="BM102" s="353"/>
      <c r="BN102" s="353"/>
      <c r="BO102" s="353"/>
      <c r="BP102" s="353"/>
      <c r="BQ102" s="353"/>
      <c r="BR102" s="353"/>
      <c r="BS102" s="353"/>
      <c r="BT102" s="353"/>
      <c r="BU102" s="353"/>
      <c r="BV102" s="353"/>
      <c r="BW102" s="353"/>
      <c r="BX102" s="353"/>
      <c r="BY102" s="353"/>
      <c r="BZ102" s="353"/>
      <c r="CA102" s="353"/>
      <c r="CB102" s="353"/>
      <c r="CC102" s="353"/>
      <c r="CD102" s="353"/>
      <c r="CE102" s="353"/>
      <c r="CF102" s="353"/>
      <c r="CG102" s="353"/>
      <c r="CH102" s="353"/>
      <c r="CI102" s="353"/>
      <c r="CJ102" s="353"/>
      <c r="CK102" s="353"/>
      <c r="CL102" s="353"/>
      <c r="CM102" s="353"/>
      <c r="CN102" s="353"/>
      <c r="CO102" s="353"/>
      <c r="CP102" s="353"/>
      <c r="CQ102" s="353"/>
      <c r="CR102" s="353"/>
      <c r="CS102" s="353"/>
      <c r="CT102" s="353"/>
      <c r="CU102" s="353"/>
      <c r="CV102" s="353"/>
      <c r="CW102" s="353"/>
      <c r="CX102" s="353"/>
      <c r="CY102" s="353"/>
      <c r="CZ102" s="353"/>
      <c r="DA102" s="353"/>
      <c r="DB102" s="353"/>
      <c r="DC102" s="353"/>
      <c r="DD102" s="353"/>
      <c r="DE102" s="353"/>
      <c r="DF102" s="353"/>
      <c r="DG102" s="353"/>
      <c r="DH102" s="353"/>
      <c r="DI102" s="353"/>
      <c r="DJ102" s="353"/>
      <c r="DK102" s="353"/>
      <c r="DL102" s="353"/>
      <c r="DM102" s="353"/>
      <c r="DN102" s="353"/>
      <c r="DO102" s="353"/>
      <c r="DP102" s="353"/>
      <c r="DQ102" s="353"/>
      <c r="DR102" s="353"/>
      <c r="DS102" s="353"/>
      <c r="DT102" s="353"/>
      <c r="DU102" s="353"/>
      <c r="DV102" s="353"/>
      <c r="DW102" s="353"/>
      <c r="DX102" s="353"/>
      <c r="DY102" s="353"/>
      <c r="DZ102" s="353"/>
      <c r="EA102" s="353"/>
      <c r="EB102" s="353"/>
      <c r="EC102" s="353"/>
      <c r="ED102" s="353"/>
      <c r="EE102" s="353"/>
      <c r="EF102" s="353"/>
      <c r="EG102" s="353"/>
      <c r="EH102" s="353"/>
      <c r="EI102" s="353"/>
      <c r="EJ102" s="353"/>
      <c r="EK102" s="353"/>
      <c r="EL102" s="353"/>
      <c r="EM102" s="353"/>
      <c r="EN102" s="353"/>
      <c r="EO102" s="353"/>
      <c r="EP102" s="353"/>
      <c r="EQ102" s="353"/>
      <c r="ER102" s="353"/>
      <c r="ES102" s="353"/>
      <c r="ET102" s="353"/>
      <c r="EU102" s="353"/>
      <c r="EV102" s="353"/>
      <c r="EW102" s="353"/>
      <c r="EX102" s="353"/>
      <c r="EY102" s="353"/>
      <c r="EZ102" s="353"/>
      <c r="FA102" s="353"/>
      <c r="FB102" s="353"/>
      <c r="FC102" s="353"/>
      <c r="FD102" s="353"/>
      <c r="FE102" s="353"/>
      <c r="FF102" s="353"/>
      <c r="FG102" s="353"/>
      <c r="FH102" s="353"/>
      <c r="FI102" s="353"/>
      <c r="FJ102" s="353"/>
      <c r="FK102" s="353"/>
      <c r="FL102" s="353"/>
      <c r="FM102" s="353"/>
      <c r="FN102" s="353"/>
      <c r="FO102" s="353"/>
      <c r="FP102" s="353"/>
      <c r="FQ102" s="353"/>
      <c r="FR102" s="353"/>
    </row>
    <row r="103" spans="2:174" s="16" customFormat="1" ht="15" customHeight="1" x14ac:dyDescent="0.2">
      <c r="B103" s="35" t="s">
        <v>67</v>
      </c>
      <c r="C103" s="20">
        <v>1.5</v>
      </c>
      <c r="D103" s="13">
        <f t="shared" si="10"/>
        <v>1041410.79</v>
      </c>
      <c r="E103" s="133" t="s">
        <v>200</v>
      </c>
    </row>
    <row r="104" spans="2:174" s="16" customFormat="1" ht="15" customHeight="1" x14ac:dyDescent="0.2">
      <c r="B104" s="38" t="s">
        <v>68</v>
      </c>
      <c r="C104" s="20">
        <v>1.9</v>
      </c>
      <c r="D104" s="13">
        <f t="shared" si="10"/>
        <v>1319120.3339999998</v>
      </c>
      <c r="E104" s="133" t="s">
        <v>200</v>
      </c>
    </row>
    <row r="105" spans="2:174" s="16" customFormat="1" ht="15" customHeight="1" x14ac:dyDescent="0.2">
      <c r="B105" s="35" t="s">
        <v>69</v>
      </c>
      <c r="C105" s="20">
        <v>1.9</v>
      </c>
      <c r="D105" s="13">
        <f t="shared" si="10"/>
        <v>1319120.3339999998</v>
      </c>
      <c r="E105" s="133" t="s">
        <v>200</v>
      </c>
    </row>
    <row r="106" spans="2:174" s="16" customFormat="1" ht="15" customHeight="1" x14ac:dyDescent="0.2">
      <c r="B106" s="38" t="s">
        <v>70</v>
      </c>
      <c r="C106" s="20">
        <v>1.6</v>
      </c>
      <c r="D106" s="13">
        <f t="shared" si="10"/>
        <v>1110838.176</v>
      </c>
      <c r="E106" s="133" t="s">
        <v>200</v>
      </c>
    </row>
    <row r="107" spans="2:174" s="16" customFormat="1" ht="15" x14ac:dyDescent="0.2">
      <c r="B107" s="35" t="s">
        <v>71</v>
      </c>
      <c r="C107" s="20">
        <v>1.9</v>
      </c>
      <c r="D107" s="13">
        <f t="shared" si="10"/>
        <v>1319120.3339999998</v>
      </c>
      <c r="E107" s="133" t="s">
        <v>200</v>
      </c>
    </row>
    <row r="108" spans="2:174" ht="15.6" customHeight="1" x14ac:dyDescent="0.2">
      <c r="B108" s="38" t="s">
        <v>72</v>
      </c>
      <c r="C108" s="20">
        <v>1.8</v>
      </c>
      <c r="D108" s="13">
        <f t="shared" si="10"/>
        <v>1249692.9480000001</v>
      </c>
      <c r="E108" s="133" t="s">
        <v>200</v>
      </c>
    </row>
    <row r="109" spans="2:174" s="16" customFormat="1" ht="15" customHeight="1" x14ac:dyDescent="0.2">
      <c r="B109" s="35" t="s">
        <v>73</v>
      </c>
      <c r="C109" s="20">
        <v>1.8</v>
      </c>
      <c r="D109" s="13">
        <f t="shared" si="10"/>
        <v>1249692.9480000001</v>
      </c>
      <c r="E109" s="133" t="s">
        <v>200</v>
      </c>
    </row>
    <row r="110" spans="2:174" s="16" customFormat="1" ht="15" customHeight="1" x14ac:dyDescent="0.2">
      <c r="B110" s="38" t="s">
        <v>74</v>
      </c>
      <c r="C110" s="20">
        <v>1.8</v>
      </c>
      <c r="D110" s="13">
        <f t="shared" si="10"/>
        <v>1249692.9480000001</v>
      </c>
      <c r="E110" s="133" t="s">
        <v>200</v>
      </c>
      <c r="F110" s="305"/>
      <c r="G110" s="305"/>
      <c r="H110" s="305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352"/>
      <c r="AG110" s="352"/>
      <c r="AH110" s="352"/>
      <c r="AI110" s="352"/>
      <c r="AJ110" s="352"/>
      <c r="AK110" s="352"/>
      <c r="AL110" s="352"/>
      <c r="AM110" s="352"/>
      <c r="AN110" s="352"/>
      <c r="AO110" s="352"/>
      <c r="AP110" s="352"/>
      <c r="AQ110" s="352"/>
      <c r="AR110" s="352"/>
      <c r="AS110" s="352"/>
      <c r="AT110" s="352"/>
      <c r="AU110" s="352"/>
      <c r="AV110" s="352"/>
      <c r="AW110" s="352"/>
      <c r="AX110" s="352"/>
      <c r="AY110" s="352"/>
      <c r="AZ110" s="352"/>
      <c r="BA110" s="352"/>
      <c r="BB110" s="352"/>
      <c r="BC110" s="352"/>
      <c r="BD110" s="352"/>
      <c r="BE110" s="352"/>
      <c r="BF110" s="352"/>
      <c r="BG110" s="352"/>
      <c r="BH110" s="352"/>
      <c r="BI110" s="352"/>
      <c r="BJ110" s="352"/>
      <c r="BK110" s="352"/>
      <c r="BL110" s="352"/>
      <c r="BM110" s="352"/>
      <c r="BN110" s="352"/>
      <c r="BO110" s="352"/>
      <c r="BP110" s="352"/>
      <c r="BQ110" s="352"/>
      <c r="BR110" s="352"/>
      <c r="BS110" s="352"/>
      <c r="BT110" s="352"/>
      <c r="BU110" s="352"/>
      <c r="BV110" s="352"/>
      <c r="BW110" s="352"/>
      <c r="BX110" s="352"/>
      <c r="BY110" s="352"/>
      <c r="BZ110" s="352"/>
      <c r="CA110" s="352"/>
      <c r="CB110" s="352"/>
      <c r="CC110" s="352"/>
      <c r="CD110" s="352"/>
      <c r="CE110" s="352"/>
      <c r="CF110" s="352"/>
      <c r="CG110" s="352"/>
      <c r="CH110" s="352"/>
      <c r="CI110" s="352"/>
      <c r="CJ110" s="352"/>
      <c r="CK110" s="352"/>
      <c r="CL110" s="352"/>
      <c r="CM110" s="352"/>
      <c r="CN110" s="352"/>
      <c r="CO110" s="352"/>
      <c r="CP110" s="352"/>
      <c r="CQ110" s="352"/>
      <c r="CR110" s="352"/>
      <c r="CS110" s="352"/>
      <c r="CT110" s="352"/>
      <c r="CU110" s="352"/>
      <c r="CV110" s="352"/>
      <c r="CW110" s="352"/>
      <c r="CX110" s="352"/>
      <c r="CY110" s="352"/>
      <c r="CZ110" s="352"/>
      <c r="DA110" s="352"/>
      <c r="DB110" s="352"/>
      <c r="DC110" s="352"/>
      <c r="DD110" s="352"/>
      <c r="DE110" s="352"/>
      <c r="DF110" s="352"/>
      <c r="DG110" s="352"/>
      <c r="DH110" s="352"/>
      <c r="DI110" s="352"/>
      <c r="DJ110" s="352"/>
      <c r="DK110" s="352"/>
      <c r="DL110" s="352"/>
      <c r="DM110" s="352"/>
      <c r="DN110" s="352"/>
      <c r="DO110" s="352"/>
      <c r="DP110" s="352"/>
      <c r="DQ110" s="352"/>
      <c r="DR110" s="352"/>
      <c r="DS110" s="352"/>
      <c r="DT110" s="352"/>
      <c r="DU110" s="352"/>
      <c r="DV110" s="352"/>
      <c r="DW110" s="352"/>
      <c r="DX110" s="352"/>
      <c r="DY110" s="352"/>
      <c r="DZ110" s="352"/>
      <c r="EA110" s="352"/>
      <c r="EB110" s="352"/>
      <c r="EC110" s="352"/>
      <c r="ED110" s="352"/>
      <c r="EE110" s="352"/>
      <c r="EF110" s="352"/>
      <c r="EG110" s="352"/>
      <c r="EH110" s="352"/>
      <c r="EI110" s="352"/>
      <c r="EJ110" s="352"/>
      <c r="EK110" s="352"/>
      <c r="EL110" s="352"/>
      <c r="EM110" s="352"/>
      <c r="EN110" s="352"/>
      <c r="EO110" s="352"/>
      <c r="EP110" s="352"/>
      <c r="EQ110" s="352"/>
      <c r="ER110" s="352"/>
      <c r="ES110" s="352"/>
      <c r="ET110" s="352"/>
      <c r="EU110" s="352"/>
      <c r="EV110" s="352"/>
      <c r="EW110" s="352"/>
      <c r="EX110" s="352"/>
      <c r="EY110" s="352"/>
      <c r="EZ110" s="352"/>
      <c r="FA110" s="352"/>
      <c r="FB110" s="352"/>
      <c r="FC110" s="352"/>
      <c r="FD110" s="352"/>
      <c r="FE110" s="352"/>
      <c r="FF110" s="352"/>
      <c r="FG110" s="352"/>
      <c r="FH110" s="352"/>
      <c r="FI110" s="352"/>
      <c r="FJ110" s="352"/>
      <c r="FK110" s="352"/>
      <c r="FL110" s="352"/>
      <c r="FM110" s="352"/>
      <c r="FN110" s="352"/>
      <c r="FO110" s="352"/>
      <c r="FP110" s="352"/>
      <c r="FQ110" s="352"/>
      <c r="FR110" s="9"/>
    </row>
    <row r="111" spans="2:174" s="16" customFormat="1" ht="15" customHeight="1" x14ac:dyDescent="0.2">
      <c r="B111" s="35" t="s">
        <v>75</v>
      </c>
      <c r="C111" s="20">
        <v>1.9</v>
      </c>
      <c r="D111" s="13">
        <f t="shared" si="10"/>
        <v>1319120.3339999998</v>
      </c>
      <c r="E111" s="133" t="s">
        <v>200</v>
      </c>
      <c r="F111" s="305"/>
      <c r="G111" s="305"/>
      <c r="H111" s="305"/>
      <c r="I111" s="352"/>
      <c r="J111" s="352"/>
      <c r="K111" s="352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  <c r="X111" s="352"/>
      <c r="Y111" s="352"/>
      <c r="Z111" s="352"/>
      <c r="AA111" s="352"/>
      <c r="AB111" s="352"/>
      <c r="AC111" s="352"/>
      <c r="AD111" s="352"/>
      <c r="AE111" s="352"/>
      <c r="AF111" s="352"/>
      <c r="AG111" s="352"/>
      <c r="AH111" s="352"/>
      <c r="AI111" s="352"/>
      <c r="AJ111" s="352"/>
      <c r="AK111" s="352"/>
      <c r="AL111" s="352"/>
      <c r="AM111" s="352"/>
      <c r="AN111" s="352"/>
      <c r="AO111" s="352"/>
      <c r="AP111" s="352"/>
      <c r="AQ111" s="352"/>
      <c r="AR111" s="352"/>
      <c r="AS111" s="352"/>
      <c r="AT111" s="352"/>
      <c r="AU111" s="352"/>
      <c r="AV111" s="352"/>
      <c r="AW111" s="352"/>
      <c r="AX111" s="352"/>
      <c r="AY111" s="352"/>
      <c r="AZ111" s="352"/>
      <c r="BA111" s="352"/>
      <c r="BB111" s="352"/>
      <c r="BC111" s="352"/>
      <c r="BD111" s="352"/>
      <c r="BE111" s="352"/>
      <c r="BF111" s="352"/>
      <c r="BG111" s="352"/>
      <c r="BH111" s="352"/>
      <c r="BI111" s="352"/>
      <c r="BJ111" s="352"/>
      <c r="BK111" s="352"/>
      <c r="BL111" s="352"/>
      <c r="BM111" s="352"/>
      <c r="BN111" s="352"/>
      <c r="BO111" s="352"/>
      <c r="BP111" s="352"/>
      <c r="BQ111" s="352"/>
      <c r="BR111" s="352"/>
      <c r="BS111" s="352"/>
      <c r="BT111" s="352"/>
      <c r="BU111" s="352"/>
      <c r="BV111" s="352"/>
      <c r="BW111" s="352"/>
      <c r="BX111" s="352"/>
      <c r="BY111" s="352"/>
      <c r="BZ111" s="352"/>
      <c r="CA111" s="352"/>
      <c r="CB111" s="352"/>
      <c r="CC111" s="352"/>
      <c r="CD111" s="352"/>
      <c r="CE111" s="352"/>
      <c r="CF111" s="352"/>
      <c r="CG111" s="352"/>
      <c r="CH111" s="352"/>
      <c r="CI111" s="352"/>
      <c r="CJ111" s="352"/>
      <c r="CK111" s="352"/>
      <c r="CL111" s="352"/>
      <c r="CM111" s="352"/>
      <c r="CN111" s="352"/>
      <c r="CO111" s="352"/>
      <c r="CP111" s="352"/>
      <c r="CQ111" s="352"/>
      <c r="CR111" s="352"/>
      <c r="CS111" s="352"/>
      <c r="CT111" s="352"/>
      <c r="CU111" s="352"/>
      <c r="CV111" s="352"/>
      <c r="CW111" s="352"/>
      <c r="CX111" s="352"/>
      <c r="CY111" s="352"/>
      <c r="CZ111" s="352"/>
      <c r="DA111" s="352"/>
      <c r="DB111" s="352"/>
      <c r="DC111" s="352"/>
      <c r="DD111" s="352"/>
      <c r="DE111" s="352"/>
      <c r="DF111" s="352"/>
      <c r="DG111" s="352"/>
      <c r="DH111" s="352"/>
      <c r="DI111" s="352"/>
      <c r="DJ111" s="352"/>
      <c r="DK111" s="352"/>
      <c r="DL111" s="352"/>
      <c r="DM111" s="352"/>
      <c r="DN111" s="352"/>
      <c r="DO111" s="352"/>
      <c r="DP111" s="352"/>
      <c r="DQ111" s="352"/>
      <c r="DR111" s="352"/>
      <c r="DS111" s="352"/>
      <c r="DT111" s="352"/>
      <c r="DU111" s="352"/>
      <c r="DV111" s="352"/>
      <c r="DW111" s="352"/>
      <c r="DX111" s="352"/>
      <c r="DY111" s="352"/>
      <c r="DZ111" s="352"/>
      <c r="EA111" s="352"/>
      <c r="EB111" s="352"/>
      <c r="EC111" s="352"/>
      <c r="ED111" s="352"/>
      <c r="EE111" s="352"/>
      <c r="EF111" s="352"/>
      <c r="EG111" s="352"/>
      <c r="EH111" s="352"/>
      <c r="EI111" s="352"/>
      <c r="EJ111" s="352"/>
      <c r="EK111" s="352"/>
      <c r="EL111" s="352"/>
      <c r="EM111" s="352"/>
      <c r="EN111" s="352"/>
      <c r="EO111" s="352"/>
      <c r="EP111" s="352"/>
      <c r="EQ111" s="352"/>
      <c r="ER111" s="352"/>
      <c r="ES111" s="352"/>
      <c r="ET111" s="352"/>
      <c r="EU111" s="352"/>
      <c r="EV111" s="352"/>
      <c r="EW111" s="352"/>
      <c r="EX111" s="352"/>
      <c r="EY111" s="352"/>
      <c r="EZ111" s="352"/>
      <c r="FA111" s="352"/>
      <c r="FB111" s="352"/>
      <c r="FC111" s="352"/>
      <c r="FD111" s="352"/>
      <c r="FE111" s="352"/>
      <c r="FF111" s="352"/>
      <c r="FG111" s="352"/>
      <c r="FH111" s="352"/>
      <c r="FI111" s="352"/>
      <c r="FJ111" s="352"/>
      <c r="FK111" s="352"/>
      <c r="FL111" s="352"/>
      <c r="FM111" s="352"/>
      <c r="FN111" s="352"/>
      <c r="FO111" s="352"/>
      <c r="FP111" s="352"/>
      <c r="FQ111" s="352"/>
      <c r="FR111" s="9"/>
    </row>
    <row r="112" spans="2:174" s="16" customFormat="1" ht="15" customHeight="1" x14ac:dyDescent="0.2">
      <c r="B112" s="38" t="s">
        <v>76</v>
      </c>
      <c r="C112" s="20">
        <v>1.9</v>
      </c>
      <c r="D112" s="13">
        <f t="shared" si="10"/>
        <v>1319120.3339999998</v>
      </c>
      <c r="E112" s="133" t="s">
        <v>200</v>
      </c>
      <c r="F112" s="305"/>
      <c r="G112" s="305"/>
      <c r="H112" s="305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2"/>
      <c r="AJ112" s="352"/>
      <c r="AK112" s="352"/>
      <c r="AL112" s="352"/>
      <c r="AM112" s="352"/>
      <c r="AN112" s="352"/>
      <c r="AO112" s="352"/>
      <c r="AP112" s="352"/>
      <c r="AQ112" s="352"/>
      <c r="AR112" s="352"/>
      <c r="AS112" s="352"/>
      <c r="AT112" s="352"/>
      <c r="AU112" s="352"/>
      <c r="AV112" s="352"/>
      <c r="AW112" s="352"/>
      <c r="AX112" s="352"/>
      <c r="AY112" s="352"/>
      <c r="AZ112" s="352"/>
      <c r="BA112" s="352"/>
      <c r="BB112" s="352"/>
      <c r="BC112" s="352"/>
      <c r="BD112" s="352"/>
      <c r="BE112" s="352"/>
      <c r="BF112" s="352"/>
      <c r="BG112" s="352"/>
      <c r="BH112" s="352"/>
      <c r="BI112" s="352"/>
      <c r="BJ112" s="352"/>
      <c r="BK112" s="352"/>
      <c r="BL112" s="352"/>
      <c r="BM112" s="352"/>
      <c r="BN112" s="352"/>
      <c r="BO112" s="352"/>
      <c r="BP112" s="352"/>
      <c r="BQ112" s="352"/>
      <c r="BR112" s="352"/>
      <c r="BS112" s="352"/>
      <c r="BT112" s="352"/>
      <c r="BU112" s="352"/>
      <c r="BV112" s="352"/>
      <c r="BW112" s="352"/>
      <c r="BX112" s="352"/>
      <c r="BY112" s="352"/>
      <c r="BZ112" s="352"/>
      <c r="CA112" s="352"/>
      <c r="CB112" s="352"/>
      <c r="CC112" s="352"/>
      <c r="CD112" s="352"/>
      <c r="CE112" s="352"/>
      <c r="CF112" s="352"/>
      <c r="CG112" s="352"/>
      <c r="CH112" s="352"/>
      <c r="CI112" s="352"/>
      <c r="CJ112" s="352"/>
      <c r="CK112" s="352"/>
      <c r="CL112" s="352"/>
      <c r="CM112" s="352"/>
      <c r="CN112" s="352"/>
      <c r="CO112" s="352"/>
      <c r="CP112" s="352"/>
      <c r="CQ112" s="352"/>
      <c r="CR112" s="352"/>
      <c r="CS112" s="352"/>
      <c r="CT112" s="352"/>
      <c r="CU112" s="352"/>
      <c r="CV112" s="352"/>
      <c r="CW112" s="352"/>
      <c r="CX112" s="352"/>
      <c r="CY112" s="352"/>
      <c r="CZ112" s="352"/>
      <c r="DA112" s="352"/>
      <c r="DB112" s="352"/>
      <c r="DC112" s="352"/>
      <c r="DD112" s="352"/>
      <c r="DE112" s="352"/>
      <c r="DF112" s="352"/>
      <c r="DG112" s="352"/>
      <c r="DH112" s="352"/>
      <c r="DI112" s="352"/>
      <c r="DJ112" s="352"/>
      <c r="DK112" s="352"/>
      <c r="DL112" s="352"/>
      <c r="DM112" s="352"/>
      <c r="DN112" s="352"/>
      <c r="DO112" s="352"/>
      <c r="DP112" s="352"/>
      <c r="DQ112" s="352"/>
      <c r="DR112" s="352"/>
      <c r="DS112" s="352"/>
      <c r="DT112" s="352"/>
      <c r="DU112" s="352"/>
      <c r="DV112" s="352"/>
      <c r="DW112" s="352"/>
      <c r="DX112" s="352"/>
      <c r="DY112" s="352"/>
      <c r="DZ112" s="352"/>
      <c r="EA112" s="352"/>
      <c r="EB112" s="352"/>
      <c r="EC112" s="352"/>
      <c r="ED112" s="352"/>
      <c r="EE112" s="352"/>
      <c r="EF112" s="352"/>
      <c r="EG112" s="352"/>
      <c r="EH112" s="352"/>
      <c r="EI112" s="352"/>
      <c r="EJ112" s="352"/>
      <c r="EK112" s="352"/>
      <c r="EL112" s="352"/>
      <c r="EM112" s="352"/>
      <c r="EN112" s="352"/>
      <c r="EO112" s="352"/>
      <c r="EP112" s="352"/>
      <c r="EQ112" s="352"/>
      <c r="ER112" s="352"/>
      <c r="ES112" s="352"/>
      <c r="ET112" s="352"/>
      <c r="EU112" s="352"/>
      <c r="EV112" s="352"/>
      <c r="EW112" s="352"/>
      <c r="EX112" s="352"/>
      <c r="EY112" s="352"/>
      <c r="EZ112" s="352"/>
      <c r="FA112" s="352"/>
      <c r="FB112" s="352"/>
      <c r="FC112" s="352"/>
      <c r="FD112" s="352"/>
      <c r="FE112" s="352"/>
      <c r="FF112" s="352"/>
      <c r="FG112" s="352"/>
      <c r="FH112" s="352"/>
      <c r="FI112" s="352"/>
      <c r="FJ112" s="352"/>
      <c r="FK112" s="352"/>
      <c r="FL112" s="352"/>
      <c r="FM112" s="352"/>
      <c r="FN112" s="352"/>
      <c r="FO112" s="352"/>
      <c r="FP112" s="352"/>
      <c r="FQ112" s="352"/>
      <c r="FR112" s="9"/>
    </row>
    <row r="113" spans="2:174" s="16" customFormat="1" ht="15" x14ac:dyDescent="0.2">
      <c r="B113" s="35" t="s">
        <v>77</v>
      </c>
      <c r="C113" s="20">
        <v>1.9</v>
      </c>
      <c r="D113" s="13">
        <f t="shared" si="10"/>
        <v>1319120.3339999998</v>
      </c>
      <c r="E113" s="133" t="s">
        <v>200</v>
      </c>
    </row>
    <row r="114" spans="2:174" s="1" customFormat="1" ht="15" customHeight="1" x14ac:dyDescent="0.2">
      <c r="B114" s="74"/>
      <c r="C114" s="10"/>
      <c r="D114" s="22"/>
    </row>
    <row r="115" spans="2:174" ht="15.75" x14ac:dyDescent="0.2">
      <c r="B115" s="75" t="s">
        <v>78</v>
      </c>
      <c r="C115" s="76"/>
      <c r="D115" s="77"/>
    </row>
    <row r="116" spans="2:174" s="16" customFormat="1" ht="15.6" customHeight="1" x14ac:dyDescent="0.2">
      <c r="B116" s="38" t="s">
        <v>79</v>
      </c>
      <c r="C116" s="23">
        <v>1.6</v>
      </c>
      <c r="D116" s="13">
        <f t="shared" ref="D116:D119" si="11">+$D$4*C116</f>
        <v>1110838.176</v>
      </c>
      <c r="E116" s="133" t="s">
        <v>200</v>
      </c>
    </row>
    <row r="117" spans="2:174" ht="15" customHeight="1" x14ac:dyDescent="0.2">
      <c r="B117" s="38" t="s">
        <v>80</v>
      </c>
      <c r="C117" s="23">
        <v>1.6</v>
      </c>
      <c r="D117" s="13">
        <f t="shared" si="11"/>
        <v>1110838.176</v>
      </c>
      <c r="E117" s="133" t="s">
        <v>200</v>
      </c>
      <c r="F117" s="305"/>
      <c r="G117" s="305"/>
      <c r="H117" s="305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2"/>
      <c r="V117" s="352"/>
      <c r="W117" s="352"/>
      <c r="X117" s="352"/>
      <c r="Y117" s="352"/>
      <c r="Z117" s="352"/>
      <c r="AA117" s="352"/>
      <c r="AB117" s="352"/>
      <c r="AC117" s="352"/>
      <c r="AD117" s="352"/>
      <c r="AE117" s="352"/>
      <c r="AF117" s="352"/>
      <c r="AG117" s="352"/>
      <c r="AH117" s="352"/>
      <c r="AI117" s="352"/>
      <c r="AJ117" s="352"/>
      <c r="AK117" s="352"/>
      <c r="AL117" s="352"/>
      <c r="AM117" s="352"/>
      <c r="AN117" s="352"/>
      <c r="AO117" s="352"/>
      <c r="AP117" s="352"/>
      <c r="AQ117" s="352"/>
      <c r="AR117" s="352"/>
      <c r="AS117" s="352"/>
      <c r="AT117" s="352"/>
      <c r="AU117" s="352"/>
      <c r="AV117" s="352"/>
      <c r="AW117" s="352"/>
      <c r="AX117" s="352"/>
      <c r="AY117" s="352"/>
      <c r="AZ117" s="352"/>
      <c r="BA117" s="352"/>
      <c r="BB117" s="352"/>
      <c r="BC117" s="352"/>
      <c r="BD117" s="352"/>
      <c r="BE117" s="352"/>
      <c r="BF117" s="352"/>
      <c r="BG117" s="352"/>
      <c r="BH117" s="352"/>
      <c r="BI117" s="352"/>
      <c r="BJ117" s="352"/>
      <c r="BK117" s="352"/>
      <c r="BL117" s="352"/>
      <c r="BM117" s="352"/>
      <c r="BN117" s="352"/>
      <c r="BO117" s="352"/>
      <c r="BP117" s="352"/>
      <c r="BQ117" s="352"/>
      <c r="BR117" s="352"/>
      <c r="BS117" s="352"/>
      <c r="BT117" s="352"/>
      <c r="BU117" s="352"/>
      <c r="BV117" s="352"/>
      <c r="BW117" s="352"/>
      <c r="BX117" s="352"/>
      <c r="BY117" s="352"/>
      <c r="BZ117" s="352"/>
      <c r="CA117" s="352"/>
      <c r="CB117" s="352"/>
      <c r="CC117" s="352"/>
      <c r="CD117" s="352"/>
      <c r="CE117" s="352"/>
      <c r="CF117" s="352"/>
      <c r="CG117" s="352"/>
      <c r="CH117" s="352"/>
      <c r="CI117" s="352"/>
      <c r="CJ117" s="352"/>
      <c r="CK117" s="352"/>
      <c r="CL117" s="352"/>
      <c r="CM117" s="352"/>
      <c r="CN117" s="352"/>
      <c r="CO117" s="352"/>
      <c r="CP117" s="352"/>
      <c r="CQ117" s="352"/>
      <c r="CR117" s="352"/>
      <c r="CS117" s="352"/>
      <c r="CT117" s="352"/>
      <c r="CU117" s="352"/>
      <c r="CV117" s="352"/>
      <c r="CW117" s="352"/>
      <c r="CX117" s="352"/>
      <c r="CY117" s="352"/>
      <c r="CZ117" s="352"/>
      <c r="DA117" s="352"/>
      <c r="DB117" s="352"/>
      <c r="DC117" s="352"/>
      <c r="DD117" s="352"/>
      <c r="DE117" s="352"/>
      <c r="DF117" s="352"/>
      <c r="DG117" s="352"/>
      <c r="DH117" s="352"/>
      <c r="DI117" s="352"/>
      <c r="DJ117" s="352"/>
      <c r="DK117" s="352"/>
      <c r="DL117" s="352"/>
      <c r="DM117" s="352"/>
      <c r="DN117" s="352"/>
      <c r="DO117" s="352"/>
      <c r="DP117" s="352"/>
      <c r="DQ117" s="352"/>
      <c r="DR117" s="352"/>
      <c r="DS117" s="352"/>
      <c r="DT117" s="352"/>
      <c r="DU117" s="352"/>
      <c r="DV117" s="352"/>
      <c r="DW117" s="352"/>
      <c r="DX117" s="352"/>
      <c r="DY117" s="352"/>
      <c r="DZ117" s="352"/>
      <c r="EA117" s="352"/>
      <c r="EB117" s="352"/>
      <c r="EC117" s="352"/>
      <c r="ED117" s="352"/>
      <c r="EE117" s="352"/>
      <c r="EF117" s="352"/>
      <c r="EG117" s="352"/>
      <c r="EH117" s="352"/>
      <c r="EI117" s="352"/>
      <c r="EJ117" s="352"/>
      <c r="EK117" s="352"/>
      <c r="EL117" s="352"/>
      <c r="EM117" s="352"/>
      <c r="EN117" s="352"/>
      <c r="EO117" s="352"/>
      <c r="EP117" s="352"/>
      <c r="EQ117" s="352"/>
      <c r="ER117" s="352"/>
      <c r="ES117" s="352"/>
      <c r="ET117" s="352"/>
      <c r="EU117" s="352"/>
      <c r="EV117" s="352"/>
      <c r="EW117" s="352"/>
      <c r="EX117" s="352"/>
      <c r="EY117" s="352"/>
      <c r="EZ117" s="352"/>
      <c r="FA117" s="352"/>
      <c r="FB117" s="352"/>
      <c r="FC117" s="352"/>
      <c r="FD117" s="352"/>
      <c r="FE117" s="352"/>
      <c r="FF117" s="352"/>
      <c r="FG117" s="352"/>
      <c r="FH117" s="352"/>
      <c r="FI117" s="352"/>
      <c r="FJ117" s="352"/>
      <c r="FK117" s="352"/>
      <c r="FL117" s="352"/>
      <c r="FM117" s="352"/>
      <c r="FN117" s="352"/>
      <c r="FO117" s="352"/>
      <c r="FP117" s="352"/>
      <c r="FQ117" s="352"/>
      <c r="FR117" s="9"/>
    </row>
    <row r="118" spans="2:174" ht="15" x14ac:dyDescent="0.2">
      <c r="B118" s="38" t="s">
        <v>81</v>
      </c>
      <c r="C118" s="23">
        <v>2</v>
      </c>
      <c r="D118" s="13">
        <f t="shared" si="11"/>
        <v>1388547.72</v>
      </c>
      <c r="E118" s="133" t="s">
        <v>200</v>
      </c>
      <c r="F118" s="305"/>
      <c r="G118" s="305"/>
      <c r="H118" s="305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  <c r="AL118" s="352"/>
      <c r="AM118" s="352"/>
      <c r="AN118" s="352"/>
      <c r="AO118" s="352"/>
      <c r="AP118" s="352"/>
      <c r="AQ118" s="352"/>
      <c r="AR118" s="352"/>
      <c r="AS118" s="352"/>
      <c r="AT118" s="352"/>
      <c r="AU118" s="352"/>
      <c r="AV118" s="352"/>
      <c r="AW118" s="352"/>
      <c r="AX118" s="352"/>
      <c r="AY118" s="352"/>
      <c r="AZ118" s="352"/>
      <c r="BA118" s="352"/>
      <c r="BB118" s="352"/>
      <c r="BC118" s="352"/>
      <c r="BD118" s="352"/>
      <c r="BE118" s="352"/>
      <c r="BF118" s="352"/>
      <c r="BG118" s="352"/>
      <c r="BH118" s="352"/>
      <c r="BI118" s="352"/>
      <c r="BJ118" s="352"/>
      <c r="BK118" s="352"/>
      <c r="BL118" s="352"/>
      <c r="BM118" s="352"/>
      <c r="BN118" s="352"/>
      <c r="BO118" s="352"/>
      <c r="BP118" s="352"/>
      <c r="BQ118" s="352"/>
      <c r="BR118" s="352"/>
      <c r="BS118" s="352"/>
      <c r="BT118" s="352"/>
      <c r="BU118" s="352"/>
      <c r="BV118" s="352"/>
      <c r="BW118" s="352"/>
      <c r="BX118" s="352"/>
      <c r="BY118" s="352"/>
      <c r="BZ118" s="352"/>
      <c r="CA118" s="352"/>
      <c r="CB118" s="352"/>
      <c r="CC118" s="352"/>
      <c r="CD118" s="352"/>
      <c r="CE118" s="352"/>
      <c r="CF118" s="352"/>
      <c r="CG118" s="352"/>
      <c r="CH118" s="352"/>
      <c r="CI118" s="352"/>
      <c r="CJ118" s="352"/>
      <c r="CK118" s="352"/>
      <c r="CL118" s="352"/>
      <c r="CM118" s="352"/>
      <c r="CN118" s="352"/>
      <c r="CO118" s="352"/>
      <c r="CP118" s="352"/>
      <c r="CQ118" s="352"/>
      <c r="CR118" s="352"/>
      <c r="CS118" s="352"/>
      <c r="CT118" s="352"/>
      <c r="CU118" s="352"/>
      <c r="CV118" s="352"/>
      <c r="CW118" s="352"/>
      <c r="CX118" s="352"/>
      <c r="CY118" s="352"/>
      <c r="CZ118" s="352"/>
      <c r="DA118" s="352"/>
      <c r="DB118" s="352"/>
      <c r="DC118" s="352"/>
      <c r="DD118" s="352"/>
      <c r="DE118" s="352"/>
      <c r="DF118" s="352"/>
      <c r="DG118" s="352"/>
      <c r="DH118" s="352"/>
      <c r="DI118" s="352"/>
      <c r="DJ118" s="352"/>
      <c r="DK118" s="352"/>
      <c r="DL118" s="352"/>
      <c r="DM118" s="352"/>
      <c r="DN118" s="352"/>
      <c r="DO118" s="352"/>
      <c r="DP118" s="352"/>
      <c r="DQ118" s="352"/>
      <c r="DR118" s="352"/>
      <c r="DS118" s="352"/>
      <c r="DT118" s="352"/>
      <c r="DU118" s="352"/>
      <c r="DV118" s="352"/>
      <c r="DW118" s="352"/>
      <c r="DX118" s="352"/>
      <c r="DY118" s="352"/>
      <c r="DZ118" s="352"/>
      <c r="EA118" s="352"/>
      <c r="EB118" s="352"/>
      <c r="EC118" s="352"/>
      <c r="ED118" s="352"/>
      <c r="EE118" s="352"/>
      <c r="EF118" s="352"/>
      <c r="EG118" s="352"/>
      <c r="EH118" s="352"/>
      <c r="EI118" s="352"/>
      <c r="EJ118" s="352"/>
      <c r="EK118" s="352"/>
      <c r="EL118" s="352"/>
      <c r="EM118" s="352"/>
      <c r="EN118" s="352"/>
      <c r="EO118" s="352"/>
      <c r="EP118" s="352"/>
      <c r="EQ118" s="352"/>
      <c r="ER118" s="352"/>
      <c r="ES118" s="352"/>
      <c r="ET118" s="352"/>
      <c r="EU118" s="352"/>
      <c r="EV118" s="352"/>
      <c r="EW118" s="352"/>
      <c r="EX118" s="352"/>
      <c r="EY118" s="352"/>
      <c r="EZ118" s="352"/>
      <c r="FA118" s="352"/>
      <c r="FB118" s="352"/>
      <c r="FC118" s="352"/>
      <c r="FD118" s="352"/>
      <c r="FE118" s="352"/>
      <c r="FF118" s="352"/>
      <c r="FG118" s="352"/>
      <c r="FH118" s="352"/>
      <c r="FI118" s="352"/>
      <c r="FJ118" s="352"/>
      <c r="FK118" s="352"/>
      <c r="FL118" s="352"/>
      <c r="FM118" s="352"/>
      <c r="FN118" s="352"/>
      <c r="FO118" s="352"/>
      <c r="FP118" s="352"/>
      <c r="FQ118" s="352"/>
      <c r="FR118" s="9"/>
    </row>
    <row r="119" spans="2:174" ht="15" customHeight="1" x14ac:dyDescent="0.2">
      <c r="B119" s="38" t="s">
        <v>82</v>
      </c>
      <c r="C119" s="23">
        <v>1</v>
      </c>
      <c r="D119" s="13">
        <f t="shared" si="11"/>
        <v>694273.86</v>
      </c>
      <c r="E119" s="133" t="s">
        <v>200</v>
      </c>
      <c r="F119" s="305"/>
      <c r="G119" s="305"/>
      <c r="H119" s="305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  <c r="AL119" s="352"/>
      <c r="AM119" s="352"/>
      <c r="AN119" s="352"/>
      <c r="AO119" s="352"/>
      <c r="AP119" s="352"/>
      <c r="AQ119" s="352"/>
      <c r="AR119" s="352"/>
      <c r="AS119" s="352"/>
      <c r="AT119" s="352"/>
      <c r="AU119" s="352"/>
      <c r="AV119" s="352"/>
      <c r="AW119" s="352"/>
      <c r="AX119" s="352"/>
      <c r="AY119" s="352"/>
      <c r="AZ119" s="352"/>
      <c r="BA119" s="352"/>
      <c r="BB119" s="352"/>
      <c r="BC119" s="352"/>
      <c r="BD119" s="352"/>
      <c r="BE119" s="352"/>
      <c r="BF119" s="352"/>
      <c r="BG119" s="352"/>
      <c r="BH119" s="352"/>
      <c r="BI119" s="352"/>
      <c r="BJ119" s="352"/>
      <c r="BK119" s="352"/>
      <c r="BL119" s="352"/>
      <c r="BM119" s="352"/>
      <c r="BN119" s="352"/>
      <c r="BO119" s="352"/>
      <c r="BP119" s="352"/>
      <c r="BQ119" s="352"/>
      <c r="BR119" s="352"/>
      <c r="BS119" s="352"/>
      <c r="BT119" s="352"/>
      <c r="BU119" s="352"/>
      <c r="BV119" s="352"/>
      <c r="BW119" s="352"/>
      <c r="BX119" s="352"/>
      <c r="BY119" s="352"/>
      <c r="BZ119" s="352"/>
      <c r="CA119" s="352"/>
      <c r="CB119" s="352"/>
      <c r="CC119" s="352"/>
      <c r="CD119" s="352"/>
      <c r="CE119" s="352"/>
      <c r="CF119" s="352"/>
      <c r="CG119" s="352"/>
      <c r="CH119" s="352"/>
      <c r="CI119" s="352"/>
      <c r="CJ119" s="352"/>
      <c r="CK119" s="352"/>
      <c r="CL119" s="352"/>
      <c r="CM119" s="352"/>
      <c r="CN119" s="352"/>
      <c r="CO119" s="352"/>
      <c r="CP119" s="352"/>
      <c r="CQ119" s="352"/>
      <c r="CR119" s="352"/>
      <c r="CS119" s="352"/>
      <c r="CT119" s="352"/>
      <c r="CU119" s="352"/>
      <c r="CV119" s="352"/>
      <c r="CW119" s="352"/>
      <c r="CX119" s="352"/>
      <c r="CY119" s="352"/>
      <c r="CZ119" s="352"/>
      <c r="DA119" s="352"/>
      <c r="DB119" s="352"/>
      <c r="DC119" s="352"/>
      <c r="DD119" s="352"/>
      <c r="DE119" s="352"/>
      <c r="DF119" s="352"/>
      <c r="DG119" s="352"/>
      <c r="DH119" s="352"/>
      <c r="DI119" s="352"/>
      <c r="DJ119" s="352"/>
      <c r="DK119" s="352"/>
      <c r="DL119" s="352"/>
      <c r="DM119" s="352"/>
      <c r="DN119" s="352"/>
      <c r="DO119" s="352"/>
      <c r="DP119" s="352"/>
      <c r="DQ119" s="352"/>
      <c r="DR119" s="352"/>
      <c r="DS119" s="352"/>
      <c r="DT119" s="352"/>
      <c r="DU119" s="352"/>
      <c r="DV119" s="352"/>
      <c r="DW119" s="352"/>
      <c r="DX119" s="352"/>
      <c r="DY119" s="352"/>
      <c r="DZ119" s="352"/>
      <c r="EA119" s="352"/>
      <c r="EB119" s="352"/>
      <c r="EC119" s="352"/>
      <c r="ED119" s="352"/>
      <c r="EE119" s="352"/>
      <c r="EF119" s="352"/>
      <c r="EG119" s="352"/>
      <c r="EH119" s="352"/>
      <c r="EI119" s="352"/>
      <c r="EJ119" s="352"/>
      <c r="EK119" s="352"/>
      <c r="EL119" s="352"/>
      <c r="EM119" s="352"/>
      <c r="EN119" s="352"/>
      <c r="EO119" s="352"/>
      <c r="EP119" s="352"/>
      <c r="EQ119" s="352"/>
      <c r="ER119" s="352"/>
      <c r="ES119" s="352"/>
      <c r="ET119" s="352"/>
      <c r="EU119" s="352"/>
      <c r="EV119" s="352"/>
      <c r="EW119" s="352"/>
      <c r="EX119" s="352"/>
      <c r="EY119" s="352"/>
      <c r="EZ119" s="352"/>
      <c r="FA119" s="352"/>
      <c r="FB119" s="352"/>
      <c r="FC119" s="352"/>
      <c r="FD119" s="352"/>
      <c r="FE119" s="352"/>
      <c r="FF119" s="352"/>
      <c r="FG119" s="352"/>
      <c r="FH119" s="352"/>
      <c r="FI119" s="352"/>
      <c r="FJ119" s="352"/>
      <c r="FK119" s="352"/>
      <c r="FL119" s="352"/>
      <c r="FM119" s="352"/>
      <c r="FN119" s="352"/>
      <c r="FO119" s="352"/>
      <c r="FP119" s="352"/>
      <c r="FQ119" s="352"/>
      <c r="FR119" s="9"/>
    </row>
    <row r="120" spans="2:174" s="1" customFormat="1" ht="15" x14ac:dyDescent="0.2">
      <c r="B120" s="74"/>
      <c r="C120" s="10"/>
      <c r="D120" s="22"/>
    </row>
    <row r="121" spans="2:174" s="1" customFormat="1" ht="15.75" x14ac:dyDescent="0.2">
      <c r="B121" s="75" t="s">
        <v>83</v>
      </c>
      <c r="C121" s="76"/>
      <c r="D121" s="77"/>
    </row>
    <row r="122" spans="2:174" s="1" customFormat="1" ht="15" customHeight="1" x14ac:dyDescent="0.2">
      <c r="B122" s="38" t="s">
        <v>84</v>
      </c>
      <c r="C122" s="23">
        <v>1.5</v>
      </c>
      <c r="D122" s="13">
        <f t="shared" ref="D122:D125" si="12">+$D$4*C122</f>
        <v>1041410.79</v>
      </c>
      <c r="E122" s="133" t="s">
        <v>200</v>
      </c>
    </row>
    <row r="123" spans="2:174" s="1" customFormat="1" ht="15" customHeight="1" x14ac:dyDescent="0.2">
      <c r="B123" s="38" t="s">
        <v>85</v>
      </c>
      <c r="C123" s="23">
        <v>1.5</v>
      </c>
      <c r="D123" s="13">
        <f t="shared" si="12"/>
        <v>1041410.79</v>
      </c>
      <c r="E123" s="133" t="s">
        <v>200</v>
      </c>
    </row>
    <row r="124" spans="2:174" s="1" customFormat="1" ht="30" customHeight="1" x14ac:dyDescent="0.2">
      <c r="B124" s="38" t="s">
        <v>86</v>
      </c>
      <c r="C124" s="23">
        <v>1.5</v>
      </c>
      <c r="D124" s="13">
        <f t="shared" si="12"/>
        <v>1041410.79</v>
      </c>
      <c r="E124" s="133" t="s">
        <v>200</v>
      </c>
    </row>
    <row r="125" spans="2:174" s="1" customFormat="1" ht="15" x14ac:dyDescent="0.2">
      <c r="B125" s="38" t="s">
        <v>87</v>
      </c>
      <c r="C125" s="23">
        <v>1.5</v>
      </c>
      <c r="D125" s="13">
        <f t="shared" si="12"/>
        <v>1041410.79</v>
      </c>
      <c r="E125" s="133" t="s">
        <v>200</v>
      </c>
    </row>
    <row r="126" spans="2:174" s="16" customFormat="1" ht="15" customHeight="1" x14ac:dyDescent="0.2">
      <c r="B126" s="74"/>
      <c r="C126" s="10"/>
      <c r="D126" s="22"/>
    </row>
    <row r="127" spans="2:174" s="16" customFormat="1" ht="15" customHeight="1" x14ac:dyDescent="0.2">
      <c r="B127" s="75" t="s">
        <v>88</v>
      </c>
      <c r="C127" s="76"/>
      <c r="D127" s="77"/>
    </row>
    <row r="128" spans="2:174" s="1" customFormat="1" ht="15" x14ac:dyDescent="0.2">
      <c r="B128" s="38" t="s">
        <v>89</v>
      </c>
      <c r="C128" s="23">
        <v>2</v>
      </c>
      <c r="D128" s="13">
        <f t="shared" ref="D128:D133" si="13">+$D$4*C128</f>
        <v>1388547.72</v>
      </c>
      <c r="E128" s="133" t="s">
        <v>200</v>
      </c>
    </row>
    <row r="129" spans="2:5" s="1" customFormat="1" ht="15" customHeight="1" x14ac:dyDescent="0.2">
      <c r="B129" s="38" t="s">
        <v>90</v>
      </c>
      <c r="C129" s="23">
        <v>2</v>
      </c>
      <c r="D129" s="13">
        <f t="shared" si="13"/>
        <v>1388547.72</v>
      </c>
      <c r="E129" s="133" t="s">
        <v>200</v>
      </c>
    </row>
    <row r="130" spans="2:5" s="1" customFormat="1" ht="15" x14ac:dyDescent="0.2">
      <c r="B130" s="38" t="s">
        <v>91</v>
      </c>
      <c r="C130" s="23">
        <v>2</v>
      </c>
      <c r="D130" s="13">
        <f t="shared" si="13"/>
        <v>1388547.72</v>
      </c>
      <c r="E130" s="133" t="s">
        <v>200</v>
      </c>
    </row>
    <row r="131" spans="2:5" s="1" customFormat="1" ht="15" x14ac:dyDescent="0.2">
      <c r="B131" s="38" t="s">
        <v>92</v>
      </c>
      <c r="C131" s="23">
        <v>1.9</v>
      </c>
      <c r="D131" s="13">
        <f t="shared" si="13"/>
        <v>1319120.3339999998</v>
      </c>
      <c r="E131" s="133" t="s">
        <v>200</v>
      </c>
    </row>
    <row r="132" spans="2:5" s="1" customFormat="1" ht="15.6" customHeight="1" x14ac:dyDescent="0.2">
      <c r="B132" s="38" t="s">
        <v>93</v>
      </c>
      <c r="C132" s="23">
        <v>1.9</v>
      </c>
      <c r="D132" s="13">
        <f t="shared" si="13"/>
        <v>1319120.3339999998</v>
      </c>
      <c r="E132" s="133" t="s">
        <v>200</v>
      </c>
    </row>
    <row r="133" spans="2:5" s="1" customFormat="1" ht="15" x14ac:dyDescent="0.2">
      <c r="B133" s="38" t="s">
        <v>94</v>
      </c>
      <c r="C133" s="23">
        <v>1.9</v>
      </c>
      <c r="D133" s="13">
        <f t="shared" si="13"/>
        <v>1319120.3339999998</v>
      </c>
      <c r="E133" s="133" t="s">
        <v>200</v>
      </c>
    </row>
    <row r="134" spans="2:5" s="1" customFormat="1" ht="16.5" customHeight="1" x14ac:dyDescent="0.2">
      <c r="B134" s="43"/>
      <c r="C134" s="2"/>
      <c r="D134" s="3"/>
    </row>
    <row r="135" spans="2:5" s="1" customFormat="1" ht="15.75" customHeight="1" x14ac:dyDescent="0.2">
      <c r="B135" s="75" t="s">
        <v>95</v>
      </c>
      <c r="C135" s="76"/>
      <c r="D135" s="77"/>
    </row>
    <row r="136" spans="2:5" s="16" customFormat="1" ht="15" customHeight="1" x14ac:dyDescent="0.2">
      <c r="B136" s="38" t="s">
        <v>96</v>
      </c>
      <c r="C136" s="23">
        <v>2</v>
      </c>
      <c r="D136" s="13">
        <f t="shared" ref="D136:D138" si="14">+$D$4*C136</f>
        <v>1388547.72</v>
      </c>
      <c r="E136" s="133" t="s">
        <v>200</v>
      </c>
    </row>
    <row r="137" spans="2:5" s="16" customFormat="1" ht="15" customHeight="1" x14ac:dyDescent="0.2">
      <c r="B137" s="38" t="s">
        <v>97</v>
      </c>
      <c r="C137" s="23">
        <v>1.8</v>
      </c>
      <c r="D137" s="13">
        <f t="shared" si="14"/>
        <v>1249692.9480000001</v>
      </c>
      <c r="E137" s="133" t="s">
        <v>200</v>
      </c>
    </row>
    <row r="138" spans="2:5" s="16" customFormat="1" ht="15" customHeight="1" x14ac:dyDescent="0.2">
      <c r="B138" s="38" t="s">
        <v>98</v>
      </c>
      <c r="C138" s="23">
        <v>1.4</v>
      </c>
      <c r="D138" s="13">
        <f t="shared" si="14"/>
        <v>971983.40399999986</v>
      </c>
      <c r="E138" s="133" t="s">
        <v>200</v>
      </c>
    </row>
    <row r="139" spans="2:5" s="46" customFormat="1" ht="15" x14ac:dyDescent="0.2">
      <c r="B139" s="44"/>
      <c r="C139" s="12"/>
      <c r="D139" s="4"/>
    </row>
    <row r="140" spans="2:5" s="46" customFormat="1" ht="16.899999999999999" customHeight="1" x14ac:dyDescent="0.2">
      <c r="B140" s="78" t="s">
        <v>99</v>
      </c>
      <c r="C140" s="79"/>
      <c r="D140" s="80"/>
    </row>
    <row r="141" spans="2:5" s="46" customFormat="1" ht="16.899999999999999" customHeight="1" x14ac:dyDescent="0.2">
      <c r="B141" s="41"/>
      <c r="C141" s="64"/>
      <c r="D141" s="59"/>
    </row>
    <row r="142" spans="2:5" s="46" customFormat="1" ht="15" x14ac:dyDescent="0.2">
      <c r="B142" s="37" t="s">
        <v>100</v>
      </c>
      <c r="C142" s="31">
        <v>2.5</v>
      </c>
      <c r="D142" s="13">
        <f t="shared" ref="D142:D148" si="15">+$D$4*C142</f>
        <v>1735684.65</v>
      </c>
      <c r="E142" s="133" t="s">
        <v>200</v>
      </c>
    </row>
    <row r="143" spans="2:5" s="34" customFormat="1" ht="15.75" customHeight="1" x14ac:dyDescent="0.25">
      <c r="B143" s="37" t="s">
        <v>101</v>
      </c>
      <c r="C143" s="31">
        <v>4</v>
      </c>
      <c r="D143" s="13">
        <f t="shared" si="15"/>
        <v>2777095.44</v>
      </c>
      <c r="E143" s="133" t="s">
        <v>200</v>
      </c>
    </row>
    <row r="144" spans="2:5" s="34" customFormat="1" ht="15.75" x14ac:dyDescent="0.25">
      <c r="B144" s="36" t="s">
        <v>102</v>
      </c>
      <c r="C144" s="31">
        <v>4</v>
      </c>
      <c r="D144" s="13">
        <f t="shared" si="15"/>
        <v>2777095.44</v>
      </c>
      <c r="E144" s="133" t="s">
        <v>200</v>
      </c>
    </row>
    <row r="145" spans="2:5" s="1" customFormat="1" ht="15" x14ac:dyDescent="0.2">
      <c r="B145" s="38" t="s">
        <v>103</v>
      </c>
      <c r="C145" s="23">
        <v>1.2</v>
      </c>
      <c r="D145" s="13">
        <f t="shared" si="15"/>
        <v>833128.63199999998</v>
      </c>
      <c r="E145" s="133" t="s">
        <v>200</v>
      </c>
    </row>
    <row r="146" spans="2:5" s="1" customFormat="1" ht="30" x14ac:dyDescent="0.2">
      <c r="B146" s="38" t="s">
        <v>104</v>
      </c>
      <c r="C146" s="23">
        <v>2.5000000000000001E-2</v>
      </c>
      <c r="D146" s="13">
        <f t="shared" si="15"/>
        <v>17356.8465</v>
      </c>
      <c r="E146" s="133" t="s">
        <v>200</v>
      </c>
    </row>
    <row r="147" spans="2:5" s="1" customFormat="1" ht="15" x14ac:dyDescent="0.2">
      <c r="B147" s="38" t="s">
        <v>105</v>
      </c>
      <c r="C147" s="23">
        <v>1.2</v>
      </c>
      <c r="D147" s="13">
        <f t="shared" si="15"/>
        <v>833128.63199999998</v>
      </c>
      <c r="E147" s="133" t="s">
        <v>200</v>
      </c>
    </row>
    <row r="148" spans="2:5" s="1" customFormat="1" ht="15" x14ac:dyDescent="0.2">
      <c r="B148" s="36" t="s">
        <v>106</v>
      </c>
      <c r="C148" s="31">
        <v>2</v>
      </c>
      <c r="D148" s="13">
        <f t="shared" si="15"/>
        <v>1388547.72</v>
      </c>
      <c r="E148" s="133" t="s">
        <v>200</v>
      </c>
    </row>
    <row r="149" spans="2:5" s="1" customFormat="1" ht="15" x14ac:dyDescent="0.2">
      <c r="B149" s="44"/>
      <c r="C149" s="12"/>
      <c r="D149" s="4"/>
    </row>
    <row r="150" spans="2:5" ht="16.899999999999999" customHeight="1" x14ac:dyDescent="0.2">
      <c r="B150" s="78" t="s">
        <v>126</v>
      </c>
      <c r="C150" s="79"/>
      <c r="D150" s="80"/>
    </row>
    <row r="151" spans="2:5" ht="31.5" customHeight="1" x14ac:dyDescent="0.2">
      <c r="B151" s="75" t="s">
        <v>107</v>
      </c>
      <c r="C151" s="76"/>
      <c r="D151" s="77"/>
    </row>
    <row r="152" spans="2:5" ht="15.75" x14ac:dyDescent="0.2">
      <c r="B152" s="33"/>
      <c r="C152" s="24"/>
      <c r="D152" s="25"/>
    </row>
    <row r="153" spans="2:5" ht="16.5" x14ac:dyDescent="0.2">
      <c r="B153" s="52" t="s">
        <v>123</v>
      </c>
      <c r="C153" s="53"/>
      <c r="D153" s="54"/>
    </row>
    <row r="154" spans="2:5" ht="15" x14ac:dyDescent="0.2">
      <c r="B154" s="115" t="s">
        <v>184</v>
      </c>
      <c r="C154" s="124">
        <v>1</v>
      </c>
      <c r="D154" s="32">
        <f>+$D$4*C154</f>
        <v>694273.86</v>
      </c>
      <c r="E154" s="133" t="s">
        <v>200</v>
      </c>
    </row>
    <row r="155" spans="2:5" ht="15" x14ac:dyDescent="0.2">
      <c r="B155" s="115" t="s">
        <v>124</v>
      </c>
      <c r="C155" s="124">
        <v>1</v>
      </c>
      <c r="D155" s="32">
        <f>+$D$4*C155</f>
        <v>694273.86</v>
      </c>
      <c r="E155" s="133" t="s">
        <v>200</v>
      </c>
    </row>
    <row r="156" spans="2:5" ht="15" x14ac:dyDescent="0.2">
      <c r="B156" s="115" t="s">
        <v>108</v>
      </c>
      <c r="C156" s="124">
        <v>1</v>
      </c>
      <c r="D156" s="32">
        <f>+$D$4*C156</f>
        <v>694273.86</v>
      </c>
      <c r="E156" s="133" t="s">
        <v>200</v>
      </c>
    </row>
    <row r="157" spans="2:5" ht="15.75" x14ac:dyDescent="0.2">
      <c r="B157" s="33"/>
      <c r="C157" s="24"/>
      <c r="D157" s="25"/>
    </row>
    <row r="158" spans="2:5" ht="16.5" x14ac:dyDescent="0.2">
      <c r="B158" s="112" t="s">
        <v>119</v>
      </c>
      <c r="C158" s="113"/>
      <c r="D158" s="114"/>
    </row>
    <row r="159" spans="2:5" ht="15" x14ac:dyDescent="0.2">
      <c r="B159" s="115" t="s">
        <v>120</v>
      </c>
      <c r="C159" s="116">
        <v>0.01</v>
      </c>
      <c r="D159" s="117">
        <f>D4*C159</f>
        <v>6942.7385999999997</v>
      </c>
      <c r="E159" s="133" t="s">
        <v>200</v>
      </c>
    </row>
    <row r="160" spans="2:5" ht="15" x14ac:dyDescent="0.2">
      <c r="B160" s="115" t="s">
        <v>122</v>
      </c>
      <c r="C160" s="116">
        <v>5.0000000000000001E-3</v>
      </c>
      <c r="D160" s="117">
        <f>D4*C160</f>
        <v>3471.3692999999998</v>
      </c>
      <c r="E160" s="133" t="s">
        <v>200</v>
      </c>
    </row>
    <row r="161" spans="2:5" ht="15" x14ac:dyDescent="0.2">
      <c r="B161" s="115" t="s">
        <v>121</v>
      </c>
      <c r="C161" s="116">
        <v>4.0000000000000001E-3</v>
      </c>
      <c r="D161" s="117">
        <f>D4*C161</f>
        <v>2777.0954400000001</v>
      </c>
      <c r="E161" s="133" t="s">
        <v>200</v>
      </c>
    </row>
    <row r="162" spans="2:5" ht="15" x14ac:dyDescent="0.2">
      <c r="B162" s="118"/>
      <c r="C162" s="92"/>
      <c r="D162" s="106"/>
    </row>
    <row r="163" spans="2:5" ht="16.5" x14ac:dyDescent="0.2">
      <c r="B163" s="112" t="s">
        <v>110</v>
      </c>
      <c r="C163" s="113"/>
      <c r="D163" s="114"/>
    </row>
    <row r="164" spans="2:5" ht="15" x14ac:dyDescent="0.2">
      <c r="B164" s="119" t="s">
        <v>117</v>
      </c>
      <c r="C164" s="120">
        <v>1.4999999999999999E-2</v>
      </c>
      <c r="D164" s="121">
        <f>+$D$4*C164</f>
        <v>10414.107899999999</v>
      </c>
      <c r="E164" s="133" t="s">
        <v>200</v>
      </c>
    </row>
    <row r="165" spans="2:5" ht="15" x14ac:dyDescent="0.2">
      <c r="B165" s="119" t="s">
        <v>118</v>
      </c>
      <c r="C165" s="122">
        <v>0.01</v>
      </c>
      <c r="D165" s="123">
        <f>+$D$4*C165</f>
        <v>6942.7385999999997</v>
      </c>
      <c r="E165" s="133" t="s">
        <v>200</v>
      </c>
    </row>
    <row r="167" spans="2:5" ht="16.5" x14ac:dyDescent="0.2">
      <c r="B167" s="302" t="s">
        <v>203</v>
      </c>
      <c r="C167" s="303"/>
      <c r="D167" s="303"/>
      <c r="E167" s="304"/>
    </row>
    <row r="168" spans="2:5" ht="23.25" customHeight="1" x14ac:dyDescent="0.2">
      <c r="B168" s="363" t="s">
        <v>205</v>
      </c>
      <c r="C168" s="363"/>
      <c r="D168" s="363"/>
      <c r="E168" s="363"/>
    </row>
    <row r="169" spans="2:5" ht="15.75" customHeight="1" x14ac:dyDescent="0.2">
      <c r="B169" s="327" t="s">
        <v>197</v>
      </c>
      <c r="C169" s="328"/>
      <c r="D169" s="329" t="s">
        <v>198</v>
      </c>
      <c r="E169" s="323"/>
    </row>
    <row r="170" spans="2:5" ht="15" x14ac:dyDescent="0.2">
      <c r="B170" s="307" t="s">
        <v>199</v>
      </c>
      <c r="C170" s="134"/>
      <c r="D170" s="121">
        <f>D191</f>
        <v>465163.48620000004</v>
      </c>
      <c r="E170" s="133" t="s">
        <v>200</v>
      </c>
    </row>
    <row r="171" spans="2:5" ht="15" x14ac:dyDescent="0.2">
      <c r="B171" s="307" t="s">
        <v>201</v>
      </c>
      <c r="C171" s="134"/>
      <c r="D171" s="121">
        <f>D192</f>
        <v>624846.47400000005</v>
      </c>
      <c r="E171" s="133" t="s">
        <v>200</v>
      </c>
    </row>
    <row r="172" spans="2:5" ht="15" x14ac:dyDescent="0.2">
      <c r="B172" s="307" t="s">
        <v>202</v>
      </c>
      <c r="C172" s="134"/>
      <c r="D172" s="121">
        <f>D193</f>
        <v>777586.72320000001</v>
      </c>
      <c r="E172" s="133" t="s">
        <v>200</v>
      </c>
    </row>
    <row r="175" spans="2:5" ht="15" customHeight="1" x14ac:dyDescent="0.2">
      <c r="B175" s="367" t="s">
        <v>188</v>
      </c>
      <c r="C175" s="368"/>
      <c r="D175" s="330"/>
      <c r="E175" s="331"/>
    </row>
    <row r="176" spans="2:5" ht="16.5" customHeight="1" x14ac:dyDescent="0.2">
      <c r="B176" s="369"/>
      <c r="C176" s="370"/>
      <c r="D176" s="132"/>
      <c r="E176" s="332"/>
    </row>
    <row r="177" spans="2:6" ht="17.25" customHeight="1" x14ac:dyDescent="0.2">
      <c r="B177" s="371"/>
      <c r="C177" s="372"/>
      <c r="D177" s="333"/>
      <c r="E177" s="334"/>
    </row>
    <row r="178" spans="2:6" ht="15" x14ac:dyDescent="0.2">
      <c r="B178" s="324" t="s">
        <v>189</v>
      </c>
      <c r="C178" s="325">
        <v>0.6</v>
      </c>
      <c r="D178" s="326">
        <f>+$D$4*$C178</f>
        <v>416564.31599999999</v>
      </c>
      <c r="E178" s="133" t="s">
        <v>200</v>
      </c>
    </row>
    <row r="179" spans="2:6" ht="15" x14ac:dyDescent="0.2">
      <c r="B179" s="320" t="s">
        <v>224</v>
      </c>
      <c r="C179" s="321">
        <v>0.8</v>
      </c>
      <c r="D179" s="322">
        <f t="shared" ref="D179:D183" si="16">+$D$4*$C179</f>
        <v>555419.08799999999</v>
      </c>
      <c r="E179" s="323" t="s">
        <v>200</v>
      </c>
    </row>
    <row r="180" spans="2:6" ht="15" x14ac:dyDescent="0.2">
      <c r="B180" s="307" t="s">
        <v>190</v>
      </c>
      <c r="C180" s="306">
        <v>1.2</v>
      </c>
      <c r="D180" s="121">
        <f t="shared" si="16"/>
        <v>833128.63199999998</v>
      </c>
      <c r="E180" s="133" t="s">
        <v>200</v>
      </c>
    </row>
    <row r="181" spans="2:6" ht="15" x14ac:dyDescent="0.2">
      <c r="B181" s="307" t="s">
        <v>191</v>
      </c>
      <c r="C181" s="306">
        <v>1.3</v>
      </c>
      <c r="D181" s="121">
        <f t="shared" si="16"/>
        <v>902556.01800000004</v>
      </c>
      <c r="E181" s="133" t="s">
        <v>200</v>
      </c>
    </row>
    <row r="182" spans="2:6" ht="15" x14ac:dyDescent="0.2">
      <c r="B182" s="307" t="s">
        <v>192</v>
      </c>
      <c r="C182" s="306">
        <v>1.4</v>
      </c>
      <c r="D182" s="121">
        <f t="shared" si="16"/>
        <v>971983.40399999986</v>
      </c>
      <c r="E182" s="133" t="s">
        <v>200</v>
      </c>
    </row>
    <row r="183" spans="2:6" ht="15" x14ac:dyDescent="0.2">
      <c r="B183" s="307" t="s">
        <v>193</v>
      </c>
      <c r="C183" s="306">
        <v>1.5</v>
      </c>
      <c r="D183" s="121">
        <f t="shared" si="16"/>
        <v>1041410.79</v>
      </c>
      <c r="E183" s="133" t="s">
        <v>200</v>
      </c>
    </row>
    <row r="184" spans="2:6" ht="15" x14ac:dyDescent="0.2">
      <c r="B184" s="307" t="s">
        <v>206</v>
      </c>
      <c r="C184" s="306"/>
      <c r="D184" s="121">
        <v>0</v>
      </c>
      <c r="E184" s="133" t="s">
        <v>200</v>
      </c>
    </row>
    <row r="185" spans="2:6" ht="15" x14ac:dyDescent="0.2">
      <c r="B185" s="309"/>
      <c r="C185" s="310"/>
      <c r="D185" s="311"/>
      <c r="E185" s="312"/>
    </row>
    <row r="186" spans="2:6" ht="15" x14ac:dyDescent="0.2">
      <c r="B186" s="309"/>
      <c r="C186" s="310"/>
      <c r="D186" s="311"/>
      <c r="E186" s="312"/>
    </row>
    <row r="187" spans="2:6" ht="15" x14ac:dyDescent="0.2">
      <c r="B187" s="309"/>
      <c r="C187" s="310"/>
      <c r="D187" s="311"/>
      <c r="E187" s="312"/>
    </row>
    <row r="189" spans="2:6" ht="42" customHeight="1" x14ac:dyDescent="0.2">
      <c r="B189" s="365" t="s">
        <v>204</v>
      </c>
      <c r="C189" s="366"/>
      <c r="D189" s="335"/>
      <c r="E189" s="336"/>
      <c r="F189" s="337"/>
    </row>
    <row r="190" spans="2:6" ht="15.75" thickBot="1" x14ac:dyDescent="0.25">
      <c r="B190" s="308" t="s">
        <v>196</v>
      </c>
      <c r="C190" s="125" t="s">
        <v>197</v>
      </c>
      <c r="D190" s="135" t="s">
        <v>218</v>
      </c>
      <c r="E190" s="125"/>
      <c r="F190" s="125" t="s">
        <v>219</v>
      </c>
    </row>
    <row r="191" spans="2:6" ht="15.75" thickBot="1" x14ac:dyDescent="0.25">
      <c r="B191" s="308">
        <v>1</v>
      </c>
      <c r="C191" s="125" t="s">
        <v>199</v>
      </c>
      <c r="D191" s="126">
        <f>$D$4*F191</f>
        <v>465163.48620000004</v>
      </c>
      <c r="E191" s="125" t="s">
        <v>200</v>
      </c>
      <c r="F191" s="125">
        <v>0.67</v>
      </c>
    </row>
    <row r="192" spans="2:6" ht="15.75" thickBot="1" x14ac:dyDescent="0.25">
      <c r="B192" s="308">
        <v>2</v>
      </c>
      <c r="C192" s="125" t="s">
        <v>201</v>
      </c>
      <c r="D192" s="126">
        <f t="shared" ref="D192:D193" si="17">$D$4*F192</f>
        <v>624846.47400000005</v>
      </c>
      <c r="E192" s="125" t="s">
        <v>200</v>
      </c>
      <c r="F192" s="125">
        <v>0.9</v>
      </c>
    </row>
    <row r="193" spans="2:10" ht="15.75" thickBot="1" x14ac:dyDescent="0.25">
      <c r="B193" s="308">
        <v>3</v>
      </c>
      <c r="C193" s="125" t="s">
        <v>202</v>
      </c>
      <c r="D193" s="126">
        <f t="shared" si="17"/>
        <v>777586.72320000001</v>
      </c>
      <c r="E193" s="125" t="s">
        <v>200</v>
      </c>
      <c r="F193" s="125">
        <v>1.1200000000000001</v>
      </c>
    </row>
    <row r="197" spans="2:10" x14ac:dyDescent="0.2">
      <c r="B197" s="364"/>
      <c r="C197" s="364"/>
      <c r="D197" s="338"/>
      <c r="E197" s="291"/>
      <c r="F197" s="291"/>
      <c r="G197" s="291"/>
      <c r="H197" s="291"/>
      <c r="I197" s="291"/>
      <c r="J197" s="291"/>
    </row>
    <row r="198" spans="2:10" ht="15" x14ac:dyDescent="0.2">
      <c r="B198" s="339"/>
      <c r="C198" s="340"/>
      <c r="D198" s="340"/>
      <c r="E198" s="291"/>
      <c r="F198" s="291"/>
      <c r="G198" s="291"/>
      <c r="H198" s="291"/>
      <c r="I198" s="291"/>
      <c r="J198" s="291"/>
    </row>
    <row r="199" spans="2:10" ht="15" x14ac:dyDescent="0.2">
      <c r="B199" s="341"/>
      <c r="C199" s="340"/>
      <c r="D199" s="340"/>
      <c r="E199" s="291"/>
      <c r="F199" s="291"/>
      <c r="G199" s="291"/>
      <c r="H199" s="291"/>
      <c r="I199" s="291"/>
      <c r="J199" s="291"/>
    </row>
    <row r="200" spans="2:10" ht="15" x14ac:dyDescent="0.2">
      <c r="B200" s="341"/>
      <c r="C200" s="340"/>
      <c r="D200" s="340"/>
      <c r="E200" s="291"/>
      <c r="F200" s="291"/>
      <c r="G200" s="291"/>
      <c r="H200" s="291"/>
      <c r="I200" s="291"/>
      <c r="J200" s="291"/>
    </row>
    <row r="201" spans="2:10" ht="15" x14ac:dyDescent="0.2">
      <c r="B201" s="341"/>
      <c r="C201" s="340"/>
      <c r="D201" s="340"/>
      <c r="E201" s="291"/>
      <c r="F201" s="291"/>
      <c r="G201" s="291"/>
      <c r="H201" s="291"/>
      <c r="I201" s="291"/>
      <c r="J201" s="291"/>
    </row>
    <row r="202" spans="2:10" ht="15" x14ac:dyDescent="0.2">
      <c r="B202" s="341"/>
      <c r="C202" s="340"/>
      <c r="D202" s="342"/>
      <c r="E202" s="291"/>
      <c r="F202" s="291"/>
      <c r="G202" s="291"/>
      <c r="H202" s="291"/>
      <c r="I202" s="291"/>
      <c r="J202" s="291"/>
    </row>
    <row r="203" spans="2:10" x14ac:dyDescent="0.2">
      <c r="B203" s="343"/>
      <c r="C203" s="344"/>
      <c r="D203" s="295"/>
      <c r="E203" s="291"/>
      <c r="F203" s="291"/>
      <c r="G203" s="291"/>
      <c r="H203" s="291"/>
      <c r="I203" s="291"/>
      <c r="J203" s="291"/>
    </row>
    <row r="204" spans="2:10" x14ac:dyDescent="0.2">
      <c r="B204" s="343"/>
      <c r="C204" s="344"/>
      <c r="D204" s="295"/>
      <c r="E204" s="291"/>
      <c r="F204" s="291"/>
      <c r="G204" s="291"/>
      <c r="H204" s="291"/>
      <c r="I204" s="291"/>
      <c r="J204" s="291"/>
    </row>
    <row r="205" spans="2:10" x14ac:dyDescent="0.2">
      <c r="B205" s="360"/>
      <c r="C205" s="360"/>
      <c r="D205" s="360"/>
      <c r="E205" s="361"/>
      <c r="F205" s="361"/>
      <c r="G205" s="361"/>
      <c r="H205" s="361"/>
      <c r="I205" s="361"/>
      <c r="J205" s="291"/>
    </row>
    <row r="206" spans="2:10" x14ac:dyDescent="0.2">
      <c r="B206" s="360"/>
      <c r="C206" s="360"/>
      <c r="D206" s="360"/>
      <c r="E206" s="345"/>
      <c r="F206" s="345"/>
      <c r="G206" s="345"/>
      <c r="H206" s="345"/>
      <c r="I206" s="345"/>
      <c r="J206" s="345"/>
    </row>
    <row r="207" spans="2:10" x14ac:dyDescent="0.2">
      <c r="B207" s="360"/>
      <c r="C207" s="360"/>
      <c r="D207" s="346"/>
      <c r="E207" s="347"/>
      <c r="F207" s="347"/>
      <c r="G207" s="347"/>
      <c r="H207" s="347"/>
      <c r="I207" s="347"/>
      <c r="J207" s="291"/>
    </row>
    <row r="208" spans="2:10" x14ac:dyDescent="0.2">
      <c r="B208" s="360"/>
      <c r="C208" s="360"/>
      <c r="D208" s="346"/>
      <c r="E208" s="347"/>
      <c r="F208" s="347"/>
      <c r="G208" s="347"/>
      <c r="H208" s="347"/>
      <c r="I208" s="347"/>
      <c r="J208" s="291"/>
    </row>
    <row r="209" spans="2:10" x14ac:dyDescent="0.2">
      <c r="B209" s="360"/>
      <c r="C209" s="360"/>
      <c r="D209" s="346"/>
      <c r="E209" s="347"/>
      <c r="F209" s="347"/>
      <c r="G209" s="347"/>
      <c r="H209" s="347"/>
      <c r="I209" s="347"/>
      <c r="J209" s="291"/>
    </row>
    <row r="210" spans="2:10" x14ac:dyDescent="0.2">
      <c r="B210" s="360"/>
      <c r="C210" s="360"/>
      <c r="D210" s="346"/>
      <c r="E210" s="347"/>
      <c r="F210" s="347"/>
      <c r="G210" s="347"/>
      <c r="H210" s="347"/>
      <c r="I210" s="347"/>
      <c r="J210" s="291"/>
    </row>
    <row r="211" spans="2:10" x14ac:dyDescent="0.2">
      <c r="B211" s="360"/>
      <c r="C211" s="360"/>
      <c r="D211" s="346"/>
      <c r="E211" s="347"/>
      <c r="F211" s="347"/>
      <c r="G211" s="347"/>
      <c r="H211" s="347"/>
      <c r="I211" s="347"/>
      <c r="J211" s="291"/>
    </row>
    <row r="212" spans="2:10" x14ac:dyDescent="0.2">
      <c r="B212" s="360"/>
      <c r="C212" s="360"/>
      <c r="D212" s="346"/>
      <c r="E212" s="347"/>
      <c r="F212" s="347"/>
      <c r="G212" s="347"/>
      <c r="H212" s="347"/>
      <c r="I212" s="347"/>
      <c r="J212" s="291"/>
    </row>
    <row r="213" spans="2:10" x14ac:dyDescent="0.2">
      <c r="B213" s="360"/>
      <c r="C213" s="360"/>
      <c r="D213" s="346"/>
      <c r="E213" s="347"/>
      <c r="F213" s="347"/>
      <c r="G213" s="347"/>
      <c r="H213" s="347"/>
      <c r="I213" s="347"/>
      <c r="J213" s="291"/>
    </row>
    <row r="214" spans="2:10" x14ac:dyDescent="0.2">
      <c r="B214" s="360"/>
      <c r="C214" s="360"/>
      <c r="D214" s="346"/>
      <c r="E214" s="347"/>
      <c r="F214" s="347"/>
      <c r="G214" s="347"/>
      <c r="H214" s="347"/>
      <c r="I214" s="347"/>
      <c r="J214" s="291"/>
    </row>
    <row r="215" spans="2:10" x14ac:dyDescent="0.2">
      <c r="B215" s="362"/>
      <c r="C215" s="360"/>
      <c r="D215" s="346"/>
      <c r="E215" s="347"/>
      <c r="F215" s="347"/>
      <c r="G215" s="347"/>
      <c r="H215" s="347"/>
      <c r="I215" s="347"/>
      <c r="J215" s="291"/>
    </row>
    <row r="216" spans="2:10" x14ac:dyDescent="0.2">
      <c r="B216" s="362"/>
      <c r="C216" s="360"/>
      <c r="D216" s="346"/>
      <c r="E216" s="347"/>
      <c r="F216" s="347"/>
      <c r="G216" s="347"/>
      <c r="H216" s="347"/>
      <c r="I216" s="347"/>
      <c r="J216" s="291"/>
    </row>
    <row r="217" spans="2:10" x14ac:dyDescent="0.2">
      <c r="B217" s="362"/>
      <c r="C217" s="360"/>
      <c r="D217" s="346"/>
      <c r="E217" s="347"/>
      <c r="F217" s="347"/>
      <c r="G217" s="347"/>
      <c r="H217" s="347"/>
      <c r="I217" s="347"/>
      <c r="J217" s="291"/>
    </row>
    <row r="218" spans="2:10" x14ac:dyDescent="0.2">
      <c r="B218" s="362"/>
      <c r="C218" s="360"/>
      <c r="D218" s="346"/>
      <c r="E218" s="347"/>
      <c r="F218" s="347"/>
      <c r="G218" s="347"/>
      <c r="H218" s="347"/>
      <c r="I218" s="347"/>
      <c r="J218" s="291"/>
    </row>
    <row r="219" spans="2:10" x14ac:dyDescent="0.2">
      <c r="B219" s="362"/>
      <c r="C219" s="360"/>
      <c r="D219" s="346"/>
      <c r="E219" s="347"/>
      <c r="F219" s="347"/>
      <c r="G219" s="347"/>
      <c r="H219" s="347"/>
      <c r="I219" s="347"/>
      <c r="J219" s="291"/>
    </row>
    <row r="220" spans="2:10" x14ac:dyDescent="0.2">
      <c r="B220" s="362"/>
      <c r="C220" s="360"/>
      <c r="D220" s="346"/>
      <c r="E220" s="347"/>
      <c r="F220" s="347"/>
      <c r="G220" s="347"/>
      <c r="H220" s="347"/>
      <c r="I220" s="347"/>
      <c r="J220" s="291"/>
    </row>
    <row r="221" spans="2:10" x14ac:dyDescent="0.2">
      <c r="B221" s="360"/>
      <c r="C221" s="360"/>
      <c r="D221" s="346"/>
      <c r="E221" s="347"/>
      <c r="F221" s="347"/>
      <c r="G221" s="347"/>
      <c r="H221" s="347"/>
      <c r="I221" s="347"/>
      <c r="J221" s="291"/>
    </row>
    <row r="222" spans="2:10" x14ac:dyDescent="0.2">
      <c r="B222" s="360"/>
      <c r="C222" s="360"/>
      <c r="D222" s="346"/>
      <c r="E222" s="347"/>
      <c r="F222" s="347"/>
      <c r="G222" s="347"/>
      <c r="H222" s="347"/>
      <c r="I222" s="347"/>
      <c r="J222" s="291"/>
    </row>
    <row r="223" spans="2:10" x14ac:dyDescent="0.2">
      <c r="B223" s="360"/>
      <c r="C223" s="360"/>
      <c r="D223" s="346"/>
      <c r="E223" s="347"/>
      <c r="F223" s="347"/>
      <c r="G223" s="347"/>
      <c r="H223" s="347"/>
      <c r="I223" s="347"/>
      <c r="J223" s="291"/>
    </row>
    <row r="224" spans="2:10" x14ac:dyDescent="0.2">
      <c r="B224" s="360"/>
      <c r="C224" s="360"/>
      <c r="D224" s="346"/>
      <c r="E224" s="347"/>
      <c r="F224" s="347"/>
      <c r="G224" s="347"/>
      <c r="H224" s="347"/>
      <c r="I224" s="347"/>
      <c r="J224" s="291"/>
    </row>
    <row r="225" spans="2:10" ht="29.25" customHeight="1" x14ac:dyDescent="0.2">
      <c r="B225" s="359"/>
      <c r="C225" s="359"/>
      <c r="D225" s="296"/>
      <c r="E225" s="291"/>
      <c r="F225" s="291"/>
      <c r="G225" s="291"/>
      <c r="H225" s="291"/>
      <c r="I225" s="291"/>
      <c r="J225" s="348"/>
    </row>
    <row r="226" spans="2:10" ht="21.75" customHeight="1" x14ac:dyDescent="0.2">
      <c r="B226" s="359"/>
      <c r="C226" s="359"/>
      <c r="D226" s="296"/>
      <c r="E226" s="291"/>
      <c r="F226" s="291"/>
      <c r="G226" s="291"/>
      <c r="H226" s="291"/>
      <c r="I226" s="291"/>
      <c r="J226" s="348"/>
    </row>
  </sheetData>
  <sheetProtection algorithmName="SHA-512" hashValue="WxKYovdOtXEBCWVPS6d60mm1F8nGtNItrJTe81ig2JfjfIWUgmyR5Wlf+wTOneXT8yz7zBGg9brO/klPGAyhnw==" saltValue="XUFlyF7U9P9cF9RFbiELsA==" spinCount="100000" sheet="1" objects="1" scenarios="1"/>
  <mergeCells count="160">
    <mergeCell ref="FA89:FQ89"/>
    <mergeCell ref="EQ88:FI88"/>
    <mergeCell ref="FJ88:FR88"/>
    <mergeCell ref="B3:D3"/>
    <mergeCell ref="B1:D1"/>
    <mergeCell ref="B225:C226"/>
    <mergeCell ref="B205:D206"/>
    <mergeCell ref="E205:I205"/>
    <mergeCell ref="B207:C209"/>
    <mergeCell ref="B210:C214"/>
    <mergeCell ref="B215:B220"/>
    <mergeCell ref="C215:C217"/>
    <mergeCell ref="C218:C220"/>
    <mergeCell ref="B221:C224"/>
    <mergeCell ref="B168:E168"/>
    <mergeCell ref="B197:C197"/>
    <mergeCell ref="B189:C189"/>
    <mergeCell ref="B175:C177"/>
    <mergeCell ref="F3:G3"/>
    <mergeCell ref="I89:T89"/>
    <mergeCell ref="F88:M88"/>
    <mergeCell ref="B2:D2"/>
    <mergeCell ref="B6:D6"/>
    <mergeCell ref="DS112:EI112"/>
    <mergeCell ref="DS117:EI117"/>
    <mergeCell ref="DB117:DR117"/>
    <mergeCell ref="CK117:DA117"/>
    <mergeCell ref="I117:T117"/>
    <mergeCell ref="I118:T118"/>
    <mergeCell ref="U118:AK118"/>
    <mergeCell ref="AL118:BB118"/>
    <mergeCell ref="U117:AK117"/>
    <mergeCell ref="AL117:BB117"/>
    <mergeCell ref="BC117:BS117"/>
    <mergeCell ref="BT117:CJ117"/>
    <mergeCell ref="FJ38:FR38"/>
    <mergeCell ref="F38:M38"/>
    <mergeCell ref="N38:AF38"/>
    <mergeCell ref="AG38:AY38"/>
    <mergeCell ref="AZ38:BR38"/>
    <mergeCell ref="BT44:CJ44"/>
    <mergeCell ref="CK44:DA44"/>
    <mergeCell ref="DB44:DR44"/>
    <mergeCell ref="DS44:EI44"/>
    <mergeCell ref="EJ44:EZ44"/>
    <mergeCell ref="FA44:FQ44"/>
    <mergeCell ref="I44:T44"/>
    <mergeCell ref="U44:AK44"/>
    <mergeCell ref="AL44:BB44"/>
    <mergeCell ref="BC44:BS44"/>
    <mergeCell ref="BS38:CK38"/>
    <mergeCell ref="CL38:DD38"/>
    <mergeCell ref="DE38:DW38"/>
    <mergeCell ref="DX38:EP38"/>
    <mergeCell ref="EQ38:FI38"/>
    <mergeCell ref="U89:AK89"/>
    <mergeCell ref="AL89:BB89"/>
    <mergeCell ref="BC89:BS89"/>
    <mergeCell ref="AG88:AY88"/>
    <mergeCell ref="AZ88:BR88"/>
    <mergeCell ref="BS88:CK88"/>
    <mergeCell ref="CL88:DD88"/>
    <mergeCell ref="DE88:DW88"/>
    <mergeCell ref="DX88:EP88"/>
    <mergeCell ref="N88:AF88"/>
    <mergeCell ref="BT89:CJ89"/>
    <mergeCell ref="CK89:DA89"/>
    <mergeCell ref="DB89:DR89"/>
    <mergeCell ref="DS89:EI89"/>
    <mergeCell ref="EJ89:EZ89"/>
    <mergeCell ref="FA91:FQ91"/>
    <mergeCell ref="EJ90:EZ90"/>
    <mergeCell ref="FA90:FQ90"/>
    <mergeCell ref="E91:H91"/>
    <mergeCell ref="I91:T91"/>
    <mergeCell ref="U91:AK91"/>
    <mergeCell ref="AL91:BB91"/>
    <mergeCell ref="BC91:BS91"/>
    <mergeCell ref="AL90:BB90"/>
    <mergeCell ref="BC90:BS90"/>
    <mergeCell ref="BT90:CJ90"/>
    <mergeCell ref="CK90:DA90"/>
    <mergeCell ref="DB90:DR90"/>
    <mergeCell ref="DS90:EI90"/>
    <mergeCell ref="E90:H90"/>
    <mergeCell ref="I90:T90"/>
    <mergeCell ref="U90:AK90"/>
    <mergeCell ref="BT91:CJ91"/>
    <mergeCell ref="CK91:DA91"/>
    <mergeCell ref="DB91:DR91"/>
    <mergeCell ref="DS91:EI91"/>
    <mergeCell ref="EJ91:EZ91"/>
    <mergeCell ref="FJ102:FR102"/>
    <mergeCell ref="F102:M102"/>
    <mergeCell ref="N102:AF102"/>
    <mergeCell ref="AG102:AY102"/>
    <mergeCell ref="AZ102:BR102"/>
    <mergeCell ref="EJ92:EZ92"/>
    <mergeCell ref="FA92:FQ92"/>
    <mergeCell ref="AL92:BB92"/>
    <mergeCell ref="BC92:BS92"/>
    <mergeCell ref="BT92:CJ92"/>
    <mergeCell ref="CK92:DA92"/>
    <mergeCell ref="DB92:DR92"/>
    <mergeCell ref="DS92:EI92"/>
    <mergeCell ref="I92:T92"/>
    <mergeCell ref="U92:AK92"/>
    <mergeCell ref="DX102:EP102"/>
    <mergeCell ref="EQ102:FI102"/>
    <mergeCell ref="BS102:CK102"/>
    <mergeCell ref="CL102:DD102"/>
    <mergeCell ref="DE102:DW102"/>
    <mergeCell ref="I112:T112"/>
    <mergeCell ref="DS118:EI118"/>
    <mergeCell ref="EJ118:EZ118"/>
    <mergeCell ref="I119:T119"/>
    <mergeCell ref="FA111:FQ111"/>
    <mergeCell ref="EJ110:EZ110"/>
    <mergeCell ref="FA110:FQ110"/>
    <mergeCell ref="I111:T111"/>
    <mergeCell ref="U111:AK111"/>
    <mergeCell ref="AL111:BB111"/>
    <mergeCell ref="BC111:BS111"/>
    <mergeCell ref="AL110:BB110"/>
    <mergeCell ref="BC110:BS110"/>
    <mergeCell ref="BT110:CJ110"/>
    <mergeCell ref="CK110:DA110"/>
    <mergeCell ref="DB110:DR110"/>
    <mergeCell ref="DS110:EI110"/>
    <mergeCell ref="I110:T110"/>
    <mergeCell ref="U110:AK110"/>
    <mergeCell ref="BT111:CJ111"/>
    <mergeCell ref="CK111:DA111"/>
    <mergeCell ref="DB111:DR111"/>
    <mergeCell ref="DS111:EI111"/>
    <mergeCell ref="EJ111:EZ111"/>
    <mergeCell ref="FA119:FQ119"/>
    <mergeCell ref="FA118:FQ118"/>
    <mergeCell ref="DS119:EI119"/>
    <mergeCell ref="EJ119:EZ119"/>
    <mergeCell ref="U112:AK112"/>
    <mergeCell ref="EJ112:EZ112"/>
    <mergeCell ref="BT119:CJ119"/>
    <mergeCell ref="BC118:BS118"/>
    <mergeCell ref="BT118:CJ118"/>
    <mergeCell ref="CK118:DA118"/>
    <mergeCell ref="DB118:DR118"/>
    <mergeCell ref="FA112:FQ112"/>
    <mergeCell ref="EJ117:EZ117"/>
    <mergeCell ref="FA117:FQ117"/>
    <mergeCell ref="AL112:BB112"/>
    <mergeCell ref="BC112:BS112"/>
    <mergeCell ref="BT112:CJ112"/>
    <mergeCell ref="CK112:DA112"/>
    <mergeCell ref="U119:AK119"/>
    <mergeCell ref="AL119:BB119"/>
    <mergeCell ref="BC119:BS119"/>
    <mergeCell ref="DB112:DR112"/>
    <mergeCell ref="CK119:DA119"/>
    <mergeCell ref="DB119:DR119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9"/>
  <sheetViews>
    <sheetView showGridLines="0" tabSelected="1" zoomScale="85" zoomScaleNormal="85" workbookViewId="0">
      <selection activeCell="H6" sqref="H6"/>
    </sheetView>
  </sheetViews>
  <sheetFormatPr baseColWidth="10" defaultRowHeight="12.75" x14ac:dyDescent="0.2"/>
  <cols>
    <col min="1" max="1" width="13.28515625" style="127" customWidth="1"/>
    <col min="2" max="2" width="18.7109375" style="127" customWidth="1"/>
    <col min="3" max="3" width="8" style="127" customWidth="1"/>
    <col min="4" max="4" width="18.28515625" style="127" customWidth="1"/>
    <col min="5" max="5" width="16.5703125" style="127" customWidth="1"/>
    <col min="6" max="6" width="22.140625" style="127" customWidth="1"/>
    <col min="7" max="7" width="13.5703125" style="127" customWidth="1"/>
    <col min="8" max="8" width="26.42578125" style="127" customWidth="1"/>
    <col min="9" max="9" width="16.42578125" style="127" customWidth="1"/>
    <col min="10" max="10" width="18.7109375" style="127" customWidth="1"/>
    <col min="11" max="11" width="14.28515625" style="127" customWidth="1"/>
    <col min="12" max="12" width="15.85546875" style="127" bestFit="1" customWidth="1"/>
    <col min="13" max="13" width="6.42578125" style="127" customWidth="1"/>
    <col min="14" max="14" width="19.140625" customWidth="1"/>
    <col min="15" max="15" width="32.7109375" customWidth="1"/>
    <col min="16" max="16" width="18.140625" customWidth="1"/>
    <col min="17" max="17" width="15.85546875" customWidth="1"/>
    <col min="18" max="18" width="24.140625" customWidth="1"/>
    <col min="19" max="19" width="11.28515625" customWidth="1"/>
    <col min="20" max="20" width="33.5703125" customWidth="1"/>
    <col min="21" max="21" width="7.42578125" customWidth="1"/>
    <col min="22" max="22" width="17.28515625" customWidth="1"/>
    <col min="23" max="23" width="14.28515625" customWidth="1"/>
    <col min="24" max="24" width="9.85546875" customWidth="1"/>
    <col min="25" max="25" width="17.5703125" customWidth="1"/>
    <col min="26" max="26" width="16.7109375" customWidth="1"/>
  </cols>
  <sheetData>
    <row r="1" spans="1:20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40"/>
      <c r="M1" s="140"/>
      <c r="N1" s="136"/>
      <c r="O1" s="136"/>
      <c r="P1" s="136"/>
      <c r="Q1" s="136"/>
      <c r="R1" s="136"/>
    </row>
    <row r="2" spans="1:20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40"/>
      <c r="M2" s="140"/>
      <c r="N2" s="136"/>
      <c r="O2" s="136"/>
      <c r="P2" s="136"/>
      <c r="Q2" s="136"/>
      <c r="R2" s="136"/>
    </row>
    <row r="3" spans="1:20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40"/>
      <c r="M3" s="140"/>
      <c r="N3" s="136"/>
      <c r="O3" s="136"/>
      <c r="P3" s="136"/>
      <c r="Q3" s="136"/>
      <c r="R3" s="136"/>
    </row>
    <row r="4" spans="1:20" ht="13.5" thickBo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40"/>
      <c r="M4" s="140"/>
      <c r="N4" s="136"/>
      <c r="O4" s="136"/>
      <c r="P4" s="136"/>
      <c r="Q4" s="136"/>
      <c r="R4" s="136"/>
    </row>
    <row r="5" spans="1:20" ht="16.5" customHeight="1" thickBot="1" x14ac:dyDescent="0.3">
      <c r="A5" s="349" t="s">
        <v>148</v>
      </c>
      <c r="B5" s="350"/>
      <c r="C5" s="141"/>
      <c r="D5" s="141"/>
      <c r="E5" s="351"/>
      <c r="F5" s="141" t="s">
        <v>129</v>
      </c>
      <c r="G5" s="141"/>
      <c r="H5" s="142">
        <f>'TABLA DE INDICES'!D4</f>
        <v>694273.86</v>
      </c>
      <c r="I5" s="136"/>
      <c r="J5" s="216" t="s">
        <v>209</v>
      </c>
      <c r="K5" s="142">
        <f>+'PLANILLA CALCULO DE HONORARIOS'!H5*0.03</f>
        <v>20828.215799999998</v>
      </c>
      <c r="L5" s="136"/>
      <c r="M5" s="140"/>
      <c r="N5" s="136"/>
      <c r="O5" s="136"/>
      <c r="P5" s="136"/>
      <c r="Q5" s="136"/>
      <c r="R5" s="136"/>
    </row>
    <row r="6" spans="1:20" ht="16.5" customHeight="1" x14ac:dyDescent="0.2">
      <c r="A6" s="352" t="s">
        <v>225</v>
      </c>
      <c r="B6" s="352"/>
      <c r="C6" s="352"/>
      <c r="D6" s="352"/>
      <c r="E6" s="352"/>
      <c r="F6" s="352"/>
      <c r="G6" s="136"/>
      <c r="H6" s="136"/>
      <c r="I6" s="136"/>
      <c r="J6" s="136"/>
      <c r="K6" s="136"/>
      <c r="L6" s="136"/>
      <c r="M6" s="140"/>
      <c r="N6" s="136"/>
      <c r="O6" s="136"/>
      <c r="P6" s="136"/>
      <c r="Q6" s="136"/>
      <c r="R6" s="136"/>
    </row>
    <row r="7" spans="1:20" ht="16.5" customHeight="1" thickBot="1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40"/>
      <c r="N7" s="136"/>
      <c r="O7" s="136"/>
      <c r="P7" s="136"/>
      <c r="Q7" s="136"/>
      <c r="R7" s="136"/>
    </row>
    <row r="8" spans="1:20" ht="30" customHeight="1" thickBot="1" x14ac:dyDescent="0.25">
      <c r="A8" s="431" t="s">
        <v>215</v>
      </c>
      <c r="B8" s="432"/>
      <c r="C8" s="432"/>
      <c r="D8" s="432"/>
      <c r="E8" s="432"/>
      <c r="F8" s="432"/>
      <c r="G8" s="432"/>
      <c r="H8" s="433"/>
      <c r="I8" s="140"/>
      <c r="J8" s="140"/>
      <c r="K8" s="431" t="s">
        <v>220</v>
      </c>
      <c r="L8" s="432"/>
      <c r="M8" s="432"/>
      <c r="N8" s="432"/>
      <c r="O8" s="432"/>
      <c r="P8" s="432"/>
      <c r="Q8" s="432"/>
      <c r="R8" s="433"/>
    </row>
    <row r="9" spans="1:20" ht="43.9" customHeight="1" thickBot="1" x14ac:dyDescent="0.25">
      <c r="A9" s="380" t="s">
        <v>135</v>
      </c>
      <c r="B9" s="381"/>
      <c r="C9" s="382"/>
      <c r="D9" s="214" t="s">
        <v>141</v>
      </c>
      <c r="E9" s="213" t="s">
        <v>138</v>
      </c>
      <c r="F9" s="210" t="s">
        <v>113</v>
      </c>
      <c r="G9" s="210" t="s">
        <v>140</v>
      </c>
      <c r="H9" s="212" t="s">
        <v>0</v>
      </c>
      <c r="I9" s="140"/>
      <c r="K9" s="434" t="s">
        <v>135</v>
      </c>
      <c r="L9" s="435"/>
      <c r="M9" s="436"/>
      <c r="N9" s="214" t="s">
        <v>141</v>
      </c>
      <c r="O9" s="213" t="s">
        <v>216</v>
      </c>
      <c r="P9" s="210" t="s">
        <v>113</v>
      </c>
      <c r="Q9" s="210" t="s">
        <v>140</v>
      </c>
      <c r="R9" s="218" t="s">
        <v>0</v>
      </c>
    </row>
    <row r="10" spans="1:20" ht="30" customHeight="1" thickBot="1" x14ac:dyDescent="0.25">
      <c r="A10" s="383" t="s">
        <v>4</v>
      </c>
      <c r="B10" s="384"/>
      <c r="C10" s="385"/>
      <c r="D10" s="128" t="s">
        <v>136</v>
      </c>
      <c r="E10" s="143">
        <f>+VLOOKUP(D10,TIPOINTERV[],2,FALSE )</f>
        <v>1</v>
      </c>
      <c r="F10" s="144">
        <f>IF(A10=0,0,+VLOOKUP(A10,'TABLA DE INDICES'!$B$7:$D$174,3,FALSE))</f>
        <v>694273.86</v>
      </c>
      <c r="G10" s="129">
        <v>0</v>
      </c>
      <c r="H10" s="145">
        <f>(F10*G10)*E10</f>
        <v>0</v>
      </c>
      <c r="I10" s="140"/>
      <c r="J10" s="140"/>
      <c r="K10" s="388" t="s">
        <v>4</v>
      </c>
      <c r="L10" s="389"/>
      <c r="M10" s="390"/>
      <c r="N10" s="128" t="s">
        <v>222</v>
      </c>
      <c r="O10" s="143">
        <v>1</v>
      </c>
      <c r="P10" s="144">
        <f>IF(K10=0,0,+VLOOKUP(K10,'TABLA DE INDICES'!B7:D174,3,FALSE))</f>
        <v>694273.86</v>
      </c>
      <c r="Q10" s="129"/>
      <c r="R10" s="145">
        <f>(P10*Q10)*O10</f>
        <v>0</v>
      </c>
    </row>
    <row r="11" spans="1:20" ht="30" customHeight="1" thickBot="1" x14ac:dyDescent="0.25">
      <c r="A11" s="383" t="s">
        <v>199</v>
      </c>
      <c r="B11" s="384"/>
      <c r="C11" s="385"/>
      <c r="D11" s="128" t="s">
        <v>136</v>
      </c>
      <c r="E11" s="146">
        <f>+VLOOKUP(D11,TIPOINTERV[],2,FALSE )</f>
        <v>1</v>
      </c>
      <c r="F11" s="144">
        <f>IF(A11=0,0,+VLOOKUP(A11,'TABLA DE INDICES'!$B$7:$D$174,3,FALSE))</f>
        <v>465163.48620000004</v>
      </c>
      <c r="G11" s="130">
        <v>0</v>
      </c>
      <c r="H11" s="145">
        <f t="shared" ref="H11:H12" si="0">(F11*G11)*E11</f>
        <v>0</v>
      </c>
      <c r="I11" s="140"/>
      <c r="J11" s="140"/>
      <c r="K11" s="388" t="s">
        <v>201</v>
      </c>
      <c r="L11" s="389"/>
      <c r="M11" s="390"/>
      <c r="N11" s="128" t="s">
        <v>222</v>
      </c>
      <c r="O11" s="143">
        <v>1</v>
      </c>
      <c r="P11" s="144">
        <f>IF(K11=0,0,+VLOOKUP(K11,'TABLA DE INDICES'!B8:D175,3,FALSE))</f>
        <v>624846.47400000005</v>
      </c>
      <c r="Q11" s="129">
        <v>0</v>
      </c>
      <c r="R11" s="145">
        <f>(P11*Q11)*O11</f>
        <v>0</v>
      </c>
    </row>
    <row r="12" spans="1:20" ht="36.75" customHeight="1" thickBot="1" x14ac:dyDescent="0.25">
      <c r="A12" s="383" t="s">
        <v>201</v>
      </c>
      <c r="B12" s="384"/>
      <c r="C12" s="385"/>
      <c r="D12" s="128" t="s">
        <v>136</v>
      </c>
      <c r="E12" s="146">
        <f>+VLOOKUP(D12,TIPOINTERV[],2,FALSE )</f>
        <v>1</v>
      </c>
      <c r="F12" s="144">
        <f>IF(A12=0,0,+VLOOKUP(A12,'TABLA DE INDICES'!$B$7:$D$174,3,FALSE))</f>
        <v>624846.47400000005</v>
      </c>
      <c r="G12" s="130">
        <v>0</v>
      </c>
      <c r="H12" s="145">
        <f t="shared" si="0"/>
        <v>0</v>
      </c>
      <c r="I12" s="137"/>
      <c r="J12" s="138"/>
      <c r="K12" s="388" t="s">
        <v>202</v>
      </c>
      <c r="L12" s="389"/>
      <c r="M12" s="390"/>
      <c r="N12" s="128" t="s">
        <v>222</v>
      </c>
      <c r="O12" s="146">
        <v>1</v>
      </c>
      <c r="P12" s="147">
        <f>IF(K12=0,0,+VLOOKUP(K12,'TABLA DE INDICES'!B9:D176,3,FALSE))</f>
        <v>777586.72320000001</v>
      </c>
      <c r="Q12" s="130">
        <v>0</v>
      </c>
      <c r="R12" s="145">
        <f>(P12*Q12)*O12</f>
        <v>0</v>
      </c>
    </row>
    <row r="13" spans="1:20" ht="34.5" customHeight="1" thickBot="1" x14ac:dyDescent="0.25">
      <c r="A13" s="383" t="s">
        <v>199</v>
      </c>
      <c r="B13" s="384"/>
      <c r="C13" s="385"/>
      <c r="D13" s="128" t="s">
        <v>136</v>
      </c>
      <c r="E13" s="146">
        <f>+VLOOKUP(D13,TIPOINTERV[],2,FALSE )</f>
        <v>1</v>
      </c>
      <c r="F13" s="144">
        <f>IF(A13=0,0,+VLOOKUP(A13,'TABLA DE INDICES'!$B$7:$D$174,3,FALSE))</f>
        <v>465163.48620000004</v>
      </c>
      <c r="G13" s="130">
        <v>0</v>
      </c>
      <c r="H13" s="145">
        <f t="shared" ref="H13:H15" si="1">(F13*G13)*E13</f>
        <v>0</v>
      </c>
      <c r="I13" s="137"/>
      <c r="J13" s="138"/>
      <c r="K13" s="388" t="s">
        <v>149</v>
      </c>
      <c r="L13" s="389"/>
      <c r="M13" s="390"/>
      <c r="N13" s="128" t="s">
        <v>222</v>
      </c>
      <c r="O13" s="146">
        <v>1</v>
      </c>
      <c r="P13" s="131">
        <v>0</v>
      </c>
      <c r="Q13" s="148" t="s">
        <v>150</v>
      </c>
      <c r="R13" s="149">
        <f>+P13*O13</f>
        <v>0</v>
      </c>
    </row>
    <row r="14" spans="1:20" ht="31.5" customHeight="1" thickBot="1" x14ac:dyDescent="0.25">
      <c r="A14" s="383" t="s">
        <v>202</v>
      </c>
      <c r="B14" s="384"/>
      <c r="C14" s="385"/>
      <c r="D14" s="128" t="s">
        <v>136</v>
      </c>
      <c r="E14" s="146">
        <f>+VLOOKUP(D14,TIPOINTERV[],2,FALSE )</f>
        <v>1</v>
      </c>
      <c r="F14" s="144">
        <f>IF(A14=0,0,+VLOOKUP(A14,'TABLA DE INDICES'!$B$7:$D$174,3,FALSE))</f>
        <v>777586.72320000001</v>
      </c>
      <c r="G14" s="130">
        <v>0</v>
      </c>
      <c r="H14" s="145">
        <f t="shared" ref="H14" si="2">(F14*G14)*E14</f>
        <v>0</v>
      </c>
      <c r="I14" s="137"/>
      <c r="J14" s="138"/>
      <c r="K14" s="223"/>
      <c r="L14" s="219"/>
      <c r="M14" s="224"/>
      <c r="N14" s="219"/>
      <c r="O14" s="219"/>
      <c r="P14" s="269" t="s">
        <v>127</v>
      </c>
      <c r="Q14" s="268" t="s">
        <v>211</v>
      </c>
      <c r="R14" s="270">
        <f>+R12+R10+R11+R13</f>
        <v>0</v>
      </c>
    </row>
    <row r="15" spans="1:20" ht="33" customHeight="1" thickBot="1" x14ac:dyDescent="0.25">
      <c r="A15" s="383" t="s">
        <v>199</v>
      </c>
      <c r="B15" s="384"/>
      <c r="C15" s="385"/>
      <c r="D15" s="128" t="s">
        <v>136</v>
      </c>
      <c r="E15" s="146">
        <f>+VLOOKUP(D15,TIPOINTERV[],2,FALSE )</f>
        <v>1</v>
      </c>
      <c r="F15" s="144">
        <f>IF(A15=0,0,+VLOOKUP(A15,'TABLA DE INDICES'!$B$7:$D$174,3,FALSE))</f>
        <v>465163.48620000004</v>
      </c>
      <c r="G15" s="130">
        <v>0</v>
      </c>
      <c r="H15" s="145">
        <f t="shared" si="1"/>
        <v>0</v>
      </c>
      <c r="I15" s="137"/>
      <c r="J15" s="138"/>
      <c r="K15" s="424" t="s">
        <v>212</v>
      </c>
      <c r="L15" s="425"/>
      <c r="M15" s="425"/>
      <c r="N15" s="425"/>
      <c r="O15" s="425"/>
      <c r="P15" s="425"/>
      <c r="Q15" s="425"/>
      <c r="R15" s="426"/>
      <c r="S15" s="220" t="s">
        <v>176</v>
      </c>
      <c r="T15" s="139"/>
    </row>
    <row r="16" spans="1:20" ht="36" customHeight="1" thickBot="1" x14ac:dyDescent="0.25">
      <c r="A16" s="391" t="s">
        <v>149</v>
      </c>
      <c r="B16" s="392"/>
      <c r="C16" s="393"/>
      <c r="D16" s="128" t="s">
        <v>136</v>
      </c>
      <c r="E16" s="143">
        <f>+VLOOKUP(D16,TIPOINTERV[],2,FALSE )</f>
        <v>1</v>
      </c>
      <c r="F16" s="131">
        <v>0</v>
      </c>
      <c r="G16" s="148" t="s">
        <v>150</v>
      </c>
      <c r="H16" s="149">
        <f>+F16*E16</f>
        <v>0</v>
      </c>
      <c r="K16" s="156" t="s">
        <v>114</v>
      </c>
      <c r="L16" s="157"/>
      <c r="M16" s="158"/>
      <c r="N16" s="159">
        <f>IF($L$17&lt;$R$14,$L$17,$R$14)</f>
        <v>0</v>
      </c>
      <c r="O16" s="160">
        <f>+'TABLA DE INDICES'!$F$5</f>
        <v>0.1</v>
      </c>
      <c r="P16" s="161">
        <f t="shared" ref="P16:P22" si="3">IF(N16=0,0,(N16-L16)*O16)</f>
        <v>0</v>
      </c>
      <c r="Q16" s="162"/>
      <c r="R16" s="225"/>
      <c r="S16" s="221">
        <f>+'TABLA DE INDICES'!$G$5</f>
        <v>0</v>
      </c>
      <c r="T16" s="139"/>
    </row>
    <row r="17" spans="1:27" ht="36" customHeight="1" thickBot="1" x14ac:dyDescent="0.25">
      <c r="A17" s="391" t="s">
        <v>206</v>
      </c>
      <c r="B17" s="392"/>
      <c r="C17" s="393"/>
      <c r="D17" s="215" t="s">
        <v>136</v>
      </c>
      <c r="E17" s="146">
        <v>1</v>
      </c>
      <c r="F17" s="147">
        <f>IF(A17=0,0,+VLOOKUP(A17,'TABLA DE INDICES'!B175:D184,3,FALSE))</f>
        <v>0</v>
      </c>
      <c r="G17" s="148" t="s">
        <v>150</v>
      </c>
      <c r="H17" s="149">
        <f>E17*F17</f>
        <v>0</v>
      </c>
      <c r="K17" s="164" t="s">
        <v>172</v>
      </c>
      <c r="L17" s="165">
        <f t="shared" ref="L17:L22" si="4">$H$5*S17</f>
        <v>41656431.600000001</v>
      </c>
      <c r="M17" s="166" t="s">
        <v>1</v>
      </c>
      <c r="N17" s="167">
        <f>IF($L$17&gt;$N$16,0,IF($L$18&lt;R$14,$B$22,R$14))</f>
        <v>0</v>
      </c>
      <c r="O17" s="168">
        <f>+'TABLA DE INDICES'!$F$6</f>
        <v>0.08</v>
      </c>
      <c r="P17" s="169">
        <f t="shared" si="3"/>
        <v>0</v>
      </c>
      <c r="Q17" s="170"/>
      <c r="R17" s="226"/>
      <c r="S17" s="221">
        <f>+'TABLA DE INDICES'!$G$6</f>
        <v>60</v>
      </c>
      <c r="T17" s="139"/>
    </row>
    <row r="18" spans="1:27" ht="15.75" thickBot="1" x14ac:dyDescent="0.3">
      <c r="A18" s="150"/>
      <c r="B18" s="151"/>
      <c r="C18" s="151"/>
      <c r="D18" s="151"/>
      <c r="E18" s="152"/>
      <c r="F18" s="153" t="s">
        <v>127</v>
      </c>
      <c r="G18" s="154" t="s">
        <v>128</v>
      </c>
      <c r="H18" s="155">
        <f>SUM(H10:H17)</f>
        <v>0</v>
      </c>
      <c r="K18" s="164" t="s">
        <v>172</v>
      </c>
      <c r="L18" s="165">
        <f t="shared" si="4"/>
        <v>83312863.200000003</v>
      </c>
      <c r="M18" s="166" t="s">
        <v>1</v>
      </c>
      <c r="N18" s="167">
        <f>IF($L$18&gt;$N$17,0,IF($L$19&lt;R$14,$L$19,R$14))</f>
        <v>0</v>
      </c>
      <c r="O18" s="168">
        <f>+'TABLA DE INDICES'!$F$7</f>
        <v>7.0000000000000007E-2</v>
      </c>
      <c r="P18" s="169">
        <f t="shared" si="3"/>
        <v>0</v>
      </c>
      <c r="Q18" s="170"/>
      <c r="R18" s="227"/>
      <c r="S18" s="221">
        <f>+'TABLA DE INDICES'!$G$7</f>
        <v>120</v>
      </c>
      <c r="T18" s="139"/>
    </row>
    <row r="19" spans="1:27" ht="31.5" customHeight="1" thickBot="1" x14ac:dyDescent="0.25">
      <c r="A19" s="424" t="s">
        <v>213</v>
      </c>
      <c r="B19" s="425"/>
      <c r="C19" s="425"/>
      <c r="D19" s="425"/>
      <c r="E19" s="425"/>
      <c r="F19" s="425"/>
      <c r="G19" s="425"/>
      <c r="H19" s="426"/>
      <c r="I19" s="256" t="s">
        <v>176</v>
      </c>
      <c r="J19" s="139"/>
      <c r="K19" s="164" t="s">
        <v>172</v>
      </c>
      <c r="L19" s="165">
        <f t="shared" si="4"/>
        <v>166625726.40000001</v>
      </c>
      <c r="M19" s="166" t="s">
        <v>1</v>
      </c>
      <c r="N19" s="167">
        <f>IF($L$19&gt;$N$18,0,IF($L$20&lt;R$14,$L$20,R$14))</f>
        <v>0</v>
      </c>
      <c r="O19" s="168">
        <f>+'TABLA DE INDICES'!$F$8</f>
        <v>0.05</v>
      </c>
      <c r="P19" s="169">
        <f t="shared" si="3"/>
        <v>0</v>
      </c>
      <c r="Q19" s="170"/>
      <c r="R19" s="228"/>
      <c r="S19" s="221">
        <f>+'TABLA DE INDICES'!$G$8</f>
        <v>240</v>
      </c>
      <c r="T19" s="139"/>
    </row>
    <row r="20" spans="1:27" x14ac:dyDescent="0.2">
      <c r="A20" s="156" t="s">
        <v>114</v>
      </c>
      <c r="B20" s="157">
        <v>0</v>
      </c>
      <c r="C20" s="158"/>
      <c r="D20" s="159">
        <f>IF($B$21&lt;$H$18,$B$21,$H$18)</f>
        <v>0</v>
      </c>
      <c r="E20" s="160">
        <f>+'TABLA DE INDICES'!$F$5</f>
        <v>0.1</v>
      </c>
      <c r="F20" s="161">
        <f>IF(D20=0,0,(D20-B20)*E20)</f>
        <v>0</v>
      </c>
      <c r="G20" s="162"/>
      <c r="H20" s="225"/>
      <c r="I20" s="163">
        <f>+'TABLA DE INDICES'!$G$5</f>
        <v>0</v>
      </c>
      <c r="J20" s="139"/>
      <c r="K20" s="164" t="s">
        <v>172</v>
      </c>
      <c r="L20" s="165">
        <f t="shared" si="4"/>
        <v>3332514528</v>
      </c>
      <c r="M20" s="166" t="s">
        <v>1</v>
      </c>
      <c r="N20" s="167">
        <f>IF($L$20&gt;$N$19,0,IF($L$21&lt;R$14,$L$21,R$14))</f>
        <v>0</v>
      </c>
      <c r="O20" s="168">
        <f>+'TABLA DE INDICES'!$F$9</f>
        <v>0.04</v>
      </c>
      <c r="P20" s="169">
        <f t="shared" si="3"/>
        <v>0</v>
      </c>
      <c r="Q20" s="170"/>
      <c r="R20" s="229"/>
      <c r="S20" s="221">
        <f>+'TABLA DE INDICES'!$G$9</f>
        <v>4800</v>
      </c>
      <c r="T20" s="139"/>
    </row>
    <row r="21" spans="1:27" x14ac:dyDescent="0.2">
      <c r="A21" s="164" t="s">
        <v>172</v>
      </c>
      <c r="B21" s="165">
        <f t="shared" ref="B21:B26" si="5">$H$5*I21</f>
        <v>41656431.600000001</v>
      </c>
      <c r="C21" s="166" t="s">
        <v>1</v>
      </c>
      <c r="D21" s="167">
        <f>IF($B$21&gt;$D$20,0,IF($B$22&lt;H$18,$B$22,H$18))</f>
        <v>0</v>
      </c>
      <c r="E21" s="168">
        <f>+'TABLA DE INDICES'!$F$6</f>
        <v>0.08</v>
      </c>
      <c r="F21" s="169">
        <f t="shared" ref="F21:F26" si="6">IF(D21=0,0,(D21-B21)*E21)</f>
        <v>0</v>
      </c>
      <c r="G21" s="170"/>
      <c r="H21" s="255"/>
      <c r="I21" s="163">
        <f>+'TABLA DE INDICES'!$G$6</f>
        <v>60</v>
      </c>
      <c r="J21" s="139"/>
      <c r="K21" s="164" t="s">
        <v>172</v>
      </c>
      <c r="L21" s="165">
        <f t="shared" si="4"/>
        <v>6942738600</v>
      </c>
      <c r="M21" s="166" t="s">
        <v>1</v>
      </c>
      <c r="N21" s="167">
        <f>IF($L$21&gt;$N$20,0,IF($L$22&lt;R$14,$L$22,R$14))</f>
        <v>0</v>
      </c>
      <c r="O21" s="168">
        <f>+'TABLA DE INDICES'!$F$10</f>
        <v>0.03</v>
      </c>
      <c r="P21" s="169">
        <f t="shared" si="3"/>
        <v>0</v>
      </c>
      <c r="Q21" s="170"/>
      <c r="R21" s="230"/>
      <c r="S21" s="221">
        <f>+'TABLA DE INDICES'!$G$10</f>
        <v>10000</v>
      </c>
      <c r="T21" s="139"/>
    </row>
    <row r="22" spans="1:27" ht="13.5" thickBot="1" x14ac:dyDescent="0.25">
      <c r="A22" s="164" t="s">
        <v>172</v>
      </c>
      <c r="B22" s="165">
        <f t="shared" si="5"/>
        <v>83312863.200000003</v>
      </c>
      <c r="C22" s="166" t="s">
        <v>1</v>
      </c>
      <c r="D22" s="167">
        <f>IF($B$22&gt;$D$21,0,IF($B$23&lt;H$18,$B$23,H$18))</f>
        <v>0</v>
      </c>
      <c r="E22" s="168">
        <f>+'TABLA DE INDICES'!$F$7</f>
        <v>7.0000000000000007E-2</v>
      </c>
      <c r="F22" s="169">
        <f t="shared" si="6"/>
        <v>0</v>
      </c>
      <c r="G22" s="170"/>
      <c r="H22" s="227"/>
      <c r="I22" s="163">
        <f>+'TABLA DE INDICES'!$G$7</f>
        <v>120</v>
      </c>
      <c r="J22" s="139"/>
      <c r="K22" s="164" t="s">
        <v>115</v>
      </c>
      <c r="L22" s="165">
        <f t="shared" si="4"/>
        <v>13885477200</v>
      </c>
      <c r="M22" s="171"/>
      <c r="N22" s="167">
        <f>IF($L$22&gt;$N$21,0,$R$14)</f>
        <v>0</v>
      </c>
      <c r="O22" s="168">
        <f>+'TABLA DE INDICES'!$F$11</f>
        <v>0.02</v>
      </c>
      <c r="P22" s="169">
        <f t="shared" si="3"/>
        <v>0</v>
      </c>
      <c r="Q22" s="170"/>
      <c r="R22" s="231"/>
      <c r="S22" s="222">
        <f>+'TABLA DE INDICES'!$G$11</f>
        <v>20000</v>
      </c>
      <c r="T22" s="139"/>
    </row>
    <row r="23" spans="1:27" ht="21" thickBot="1" x14ac:dyDescent="0.35">
      <c r="A23" s="164" t="s">
        <v>172</v>
      </c>
      <c r="B23" s="165">
        <f t="shared" si="5"/>
        <v>166625726.40000001</v>
      </c>
      <c r="C23" s="166" t="s">
        <v>1</v>
      </c>
      <c r="D23" s="167">
        <f>IF($B$23&gt;$D$22,0,IF($B$24&lt;H$18,$B$24,H$18))</f>
        <v>0</v>
      </c>
      <c r="E23" s="168">
        <f>+'TABLA DE INDICES'!$F$8</f>
        <v>0.05</v>
      </c>
      <c r="F23" s="169">
        <f t="shared" si="6"/>
        <v>0</v>
      </c>
      <c r="G23" s="170"/>
      <c r="H23" s="228"/>
      <c r="I23" s="163">
        <f>+'TABLA DE INDICES'!$G$8</f>
        <v>240</v>
      </c>
      <c r="J23" s="139"/>
      <c r="K23" s="172"/>
      <c r="L23" s="173"/>
      <c r="M23" s="174"/>
      <c r="N23" s="173"/>
      <c r="O23" s="175" t="s">
        <v>2</v>
      </c>
      <c r="P23" s="176">
        <f>SUM(P16:P22)</f>
        <v>0</v>
      </c>
      <c r="Q23" s="177"/>
      <c r="R23" s="187">
        <f>+P23</f>
        <v>0</v>
      </c>
    </row>
    <row r="24" spans="1:27" ht="26.25" customHeight="1" thickBot="1" x14ac:dyDescent="0.25">
      <c r="A24" s="164" t="s">
        <v>172</v>
      </c>
      <c r="B24" s="165">
        <f t="shared" si="5"/>
        <v>3332514528</v>
      </c>
      <c r="C24" s="166" t="s">
        <v>1</v>
      </c>
      <c r="D24" s="167">
        <f>IF($B$24&gt;$D$23,0,IF($B$25&lt;H$18,$B$25,H$18))</f>
        <v>0</v>
      </c>
      <c r="E24" s="168">
        <f>+'TABLA DE INDICES'!$F$9</f>
        <v>0.04</v>
      </c>
      <c r="F24" s="169">
        <f t="shared" si="6"/>
        <v>0</v>
      </c>
      <c r="G24" s="170"/>
      <c r="H24" s="229"/>
      <c r="I24" s="163">
        <f>+'TABLA DE INDICES'!$G$9</f>
        <v>4800</v>
      </c>
      <c r="J24" s="139"/>
      <c r="K24" s="253"/>
      <c r="L24" s="232"/>
      <c r="M24" s="233"/>
      <c r="N24" s="234"/>
      <c r="O24" s="234"/>
      <c r="P24" s="234"/>
      <c r="Q24" s="271">
        <v>0.12</v>
      </c>
      <c r="R24" s="272">
        <f>+R23*Q24</f>
        <v>0</v>
      </c>
      <c r="S24" s="266" t="e">
        <f>+R23/R14</f>
        <v>#DIV/0!</v>
      </c>
      <c r="T24" s="254" t="s">
        <v>170</v>
      </c>
    </row>
    <row r="25" spans="1:27" x14ac:dyDescent="0.2">
      <c r="A25" s="164" t="s">
        <v>172</v>
      </c>
      <c r="B25" s="165">
        <f t="shared" si="5"/>
        <v>6942738600</v>
      </c>
      <c r="C25" s="166" t="s">
        <v>1</v>
      </c>
      <c r="D25" s="167">
        <f>IF($B$25&gt;$D$24,0,IF($B$26&lt;H$18,$B$26,H$18))</f>
        <v>0</v>
      </c>
      <c r="E25" s="168">
        <f>+'TABLA DE INDICES'!$F$10</f>
        <v>0.03</v>
      </c>
      <c r="F25" s="169">
        <f t="shared" si="6"/>
        <v>0</v>
      </c>
      <c r="G25" s="170"/>
      <c r="H25" s="230"/>
      <c r="I25" s="163">
        <f>+'TABLA DE INDICES'!$G$10</f>
        <v>10000</v>
      </c>
      <c r="J25" s="139"/>
    </row>
    <row r="26" spans="1:27" ht="20.25" customHeight="1" thickBot="1" x14ac:dyDescent="0.25">
      <c r="A26" s="257" t="s">
        <v>115</v>
      </c>
      <c r="B26" s="258">
        <f t="shared" si="5"/>
        <v>13885477200</v>
      </c>
      <c r="C26" s="259"/>
      <c r="D26" s="260">
        <f>IF($B$26&gt;$D$25,0,$H$18)</f>
        <v>0</v>
      </c>
      <c r="E26" s="261">
        <f>+'TABLA DE INDICES'!$F$11</f>
        <v>0.02</v>
      </c>
      <c r="F26" s="262">
        <f t="shared" si="6"/>
        <v>0</v>
      </c>
      <c r="G26" s="263"/>
      <c r="H26" s="231"/>
      <c r="I26" s="163">
        <f>+'TABLA DE INDICES'!$G$11</f>
        <v>20000</v>
      </c>
      <c r="J26" s="139"/>
      <c r="Y26" s="413" t="s">
        <v>217</v>
      </c>
      <c r="Z26" s="414"/>
      <c r="AA26" s="415"/>
    </row>
    <row r="27" spans="1:27" ht="35.25" customHeight="1" thickBot="1" x14ac:dyDescent="0.25">
      <c r="A27" s="427" t="s">
        <v>2</v>
      </c>
      <c r="B27" s="428"/>
      <c r="C27" s="428"/>
      <c r="D27" s="428"/>
      <c r="E27" s="429"/>
      <c r="F27" s="265">
        <f>SUM(F20:F26)</f>
        <v>0</v>
      </c>
      <c r="G27" s="264"/>
      <c r="H27" s="267">
        <f>+F27</f>
        <v>0</v>
      </c>
      <c r="I27" s="300" t="e">
        <f>+H27/H18</f>
        <v>#DIV/0!</v>
      </c>
      <c r="J27" s="254" t="s">
        <v>170</v>
      </c>
      <c r="K27" s="386"/>
      <c r="L27" s="386"/>
      <c r="M27" s="386"/>
      <c r="N27" s="386"/>
      <c r="O27" s="386"/>
      <c r="P27" s="386"/>
      <c r="Q27" s="386"/>
      <c r="R27" s="386"/>
      <c r="Y27" s="273">
        <v>0</v>
      </c>
      <c r="Z27" s="273">
        <f>500*H5</f>
        <v>347136930</v>
      </c>
      <c r="AA27" s="188">
        <f>1.5*$H$5</f>
        <v>1041410.79</v>
      </c>
    </row>
    <row r="28" spans="1:27" ht="34.5" customHeight="1" thickBot="1" x14ac:dyDescent="0.35">
      <c r="A28" s="178"/>
      <c r="B28" s="179"/>
      <c r="C28" s="178"/>
      <c r="D28" s="179"/>
      <c r="E28" s="180"/>
      <c r="F28" s="181"/>
      <c r="G28" s="182"/>
      <c r="H28" s="183"/>
      <c r="I28" s="184"/>
      <c r="J28" s="185"/>
      <c r="K28" s="430"/>
      <c r="L28" s="430"/>
      <c r="M28" s="430"/>
      <c r="N28" s="277"/>
      <c r="O28" s="277"/>
      <c r="P28" s="278"/>
      <c r="Q28" s="278"/>
      <c r="R28" s="278"/>
      <c r="Y28" s="273">
        <f>500*H5</f>
        <v>347136930</v>
      </c>
      <c r="Z28" s="273">
        <f>2000*H5</f>
        <v>1388547720</v>
      </c>
      <c r="AA28" s="188">
        <f>1.75*H5</f>
        <v>1214979.2549999999</v>
      </c>
    </row>
    <row r="29" spans="1:27" ht="30" customHeight="1" thickBot="1" x14ac:dyDescent="0.25">
      <c r="A29" s="416" t="s">
        <v>207</v>
      </c>
      <c r="B29" s="417"/>
      <c r="C29" s="417"/>
      <c r="D29" s="417"/>
      <c r="E29" s="417"/>
      <c r="F29" s="417"/>
      <c r="G29" s="417"/>
      <c r="H29" s="418"/>
      <c r="I29" s="184"/>
      <c r="J29" s="185"/>
      <c r="K29" s="421"/>
      <c r="L29" s="421"/>
      <c r="M29" s="421"/>
      <c r="N29" s="279"/>
      <c r="O29" s="275"/>
      <c r="P29" s="280"/>
      <c r="Q29" s="276"/>
      <c r="R29" s="281"/>
      <c r="Y29" s="273">
        <f>2000*H5</f>
        <v>1388547720</v>
      </c>
      <c r="Z29" s="273">
        <f>5000*H5</f>
        <v>3471369300</v>
      </c>
      <c r="AA29" s="188">
        <f>2*H5</f>
        <v>1388547.72</v>
      </c>
    </row>
    <row r="30" spans="1:27" ht="30" customHeight="1" thickBot="1" x14ac:dyDescent="0.3">
      <c r="A30" s="394" t="s">
        <v>194</v>
      </c>
      <c r="B30" s="395"/>
      <c r="C30" s="395"/>
      <c r="D30" s="395"/>
      <c r="E30" s="395"/>
      <c r="F30" s="396"/>
      <c r="G30" s="186">
        <f t="shared" ref="G30:G36" si="7">IF(A30=0,0,+VLOOKUP(A30,$A$39:$G$46,7,FALSE))</f>
        <v>0</v>
      </c>
      <c r="H30" s="241">
        <f t="shared" ref="H30:H36" si="8">IF(A30=0,0,+VLOOKUP(A30,$A$39:$H$46,8,FALSE))</f>
        <v>0</v>
      </c>
      <c r="I30" s="184"/>
      <c r="J30" s="185"/>
      <c r="K30" s="282"/>
      <c r="L30" s="282"/>
      <c r="M30" s="282"/>
      <c r="N30" s="244"/>
      <c r="O30" s="244"/>
      <c r="P30" s="283"/>
      <c r="Q30" s="284"/>
      <c r="R30" s="285"/>
      <c r="Y30" s="273">
        <f>5000*H5</f>
        <v>3471369300</v>
      </c>
      <c r="Z30" s="273">
        <f>15000*H5</f>
        <v>10414107900</v>
      </c>
      <c r="AA30" s="188">
        <f>2.5*H5</f>
        <v>1735684.65</v>
      </c>
    </row>
    <row r="31" spans="1:27" ht="30" customHeight="1" thickBot="1" x14ac:dyDescent="0.25">
      <c r="A31" s="394" t="s">
        <v>208</v>
      </c>
      <c r="B31" s="395"/>
      <c r="C31" s="395"/>
      <c r="D31" s="395"/>
      <c r="E31" s="395"/>
      <c r="F31" s="396"/>
      <c r="G31" s="186">
        <f t="shared" si="7"/>
        <v>0</v>
      </c>
      <c r="H31" s="241">
        <f t="shared" si="8"/>
        <v>0</v>
      </c>
      <c r="I31" s="184"/>
      <c r="J31" s="185"/>
      <c r="K31" s="419"/>
      <c r="L31" s="419"/>
      <c r="M31" s="419"/>
      <c r="N31" s="419"/>
      <c r="O31" s="419"/>
      <c r="P31" s="419"/>
      <c r="Q31" s="419"/>
      <c r="R31" s="419"/>
      <c r="Y31" s="273"/>
      <c r="Z31" s="273">
        <f>15000*H5</f>
        <v>10414107900</v>
      </c>
      <c r="AA31" s="189">
        <f>3*H5</f>
        <v>2082821.58</v>
      </c>
    </row>
    <row r="32" spans="1:27" ht="30" customHeight="1" thickBot="1" x14ac:dyDescent="0.25">
      <c r="A32" s="394" t="s">
        <v>194</v>
      </c>
      <c r="B32" s="395"/>
      <c r="C32" s="395"/>
      <c r="D32" s="395"/>
      <c r="E32" s="395"/>
      <c r="F32" s="396"/>
      <c r="G32" s="186">
        <f t="shared" si="7"/>
        <v>0</v>
      </c>
      <c r="H32" s="241">
        <f t="shared" si="8"/>
        <v>0</v>
      </c>
      <c r="I32" s="184"/>
      <c r="J32" s="185"/>
      <c r="K32" s="387"/>
      <c r="L32" s="387"/>
      <c r="M32" s="387"/>
      <c r="N32" s="387"/>
      <c r="O32" s="387"/>
      <c r="P32" s="286"/>
      <c r="Q32" s="286"/>
      <c r="R32" s="287"/>
    </row>
    <row r="33" spans="1:20" ht="30" customHeight="1" thickBot="1" x14ac:dyDescent="0.25">
      <c r="A33" s="394" t="s">
        <v>194</v>
      </c>
      <c r="B33" s="395"/>
      <c r="C33" s="395"/>
      <c r="D33" s="395"/>
      <c r="E33" s="395"/>
      <c r="F33" s="396"/>
      <c r="G33" s="186">
        <f t="shared" si="7"/>
        <v>0</v>
      </c>
      <c r="H33" s="241">
        <f t="shared" si="8"/>
        <v>0</v>
      </c>
      <c r="I33" s="184"/>
      <c r="J33" s="185"/>
      <c r="K33" s="288"/>
      <c r="L33" s="289"/>
      <c r="M33" s="290"/>
      <c r="N33" s="244"/>
      <c r="O33" s="291"/>
      <c r="P33" s="276"/>
      <c r="Q33" s="292"/>
      <c r="R33" s="281"/>
    </row>
    <row r="34" spans="1:20" ht="21" customHeight="1" thickBot="1" x14ac:dyDescent="0.25">
      <c r="A34" s="394" t="s">
        <v>194</v>
      </c>
      <c r="B34" s="395"/>
      <c r="C34" s="395"/>
      <c r="D34" s="395"/>
      <c r="E34" s="395"/>
      <c r="F34" s="396"/>
      <c r="G34" s="186">
        <f t="shared" si="7"/>
        <v>0</v>
      </c>
      <c r="H34" s="241">
        <f t="shared" si="8"/>
        <v>0</v>
      </c>
      <c r="I34" s="184"/>
      <c r="J34" s="185"/>
      <c r="K34" s="293"/>
      <c r="L34" s="289"/>
      <c r="M34" s="290"/>
      <c r="N34" s="244"/>
      <c r="O34" s="294"/>
      <c r="P34" s="276"/>
      <c r="Q34" s="276"/>
      <c r="R34" s="295"/>
    </row>
    <row r="35" spans="1:20" ht="30" customHeight="1" thickBot="1" x14ac:dyDescent="0.25">
      <c r="A35" s="394" t="s">
        <v>194</v>
      </c>
      <c r="B35" s="395"/>
      <c r="C35" s="395"/>
      <c r="D35" s="395"/>
      <c r="E35" s="395"/>
      <c r="F35" s="396"/>
      <c r="G35" s="186">
        <f t="shared" si="7"/>
        <v>0</v>
      </c>
      <c r="H35" s="241">
        <f t="shared" si="8"/>
        <v>0</v>
      </c>
      <c r="I35" s="140"/>
      <c r="J35" s="139"/>
      <c r="K35" s="296"/>
      <c r="L35" s="289"/>
      <c r="M35" s="290"/>
      <c r="N35" s="244"/>
      <c r="O35" s="294"/>
      <c r="P35" s="276"/>
      <c r="Q35" s="276"/>
      <c r="R35" s="295"/>
    </row>
    <row r="36" spans="1:20" ht="30.75" customHeight="1" thickBot="1" x14ac:dyDescent="0.25">
      <c r="A36" s="394" t="s">
        <v>194</v>
      </c>
      <c r="B36" s="395"/>
      <c r="C36" s="395"/>
      <c r="D36" s="395"/>
      <c r="E36" s="395"/>
      <c r="F36" s="396"/>
      <c r="G36" s="186">
        <f t="shared" si="7"/>
        <v>0</v>
      </c>
      <c r="H36" s="241">
        <f t="shared" si="8"/>
        <v>0</v>
      </c>
      <c r="I36" s="274" t="str">
        <f>IF(H37=H5,"Monto Mínimo","")</f>
        <v>Monto Mínimo</v>
      </c>
      <c r="J36" s="139"/>
      <c r="K36" s="420"/>
      <c r="L36" s="420"/>
      <c r="M36" s="420"/>
      <c r="N36" s="297"/>
      <c r="O36" s="294"/>
      <c r="P36" s="276"/>
      <c r="Q36" s="276"/>
      <c r="R36" s="295"/>
    </row>
    <row r="37" spans="1:20" ht="21" customHeight="1" thickBot="1" x14ac:dyDescent="0.35">
      <c r="A37" s="401" t="s">
        <v>134</v>
      </c>
      <c r="B37" s="402"/>
      <c r="C37" s="402"/>
      <c r="D37" s="402"/>
      <c r="E37" s="402"/>
      <c r="F37" s="402"/>
      <c r="G37" s="403"/>
      <c r="H37" s="187">
        <f>IF(SUM(H30:H36)&lt;$H$5,$H$5,SUM(H30:H36))</f>
        <v>694273.86</v>
      </c>
      <c r="K37" s="420"/>
      <c r="L37" s="420"/>
      <c r="M37" s="420"/>
      <c r="N37" s="243"/>
      <c r="O37" s="294"/>
      <c r="P37" s="276"/>
      <c r="Q37" s="276"/>
      <c r="R37" s="295"/>
    </row>
    <row r="38" spans="1:20" ht="15.75" thickBot="1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39"/>
      <c r="K38" s="288"/>
      <c r="L38" s="289"/>
      <c r="M38" s="289"/>
      <c r="N38" s="291"/>
      <c r="O38" s="294"/>
      <c r="P38" s="276"/>
      <c r="Q38" s="276"/>
      <c r="R38" s="295"/>
    </row>
    <row r="39" spans="1:20" ht="16.5" hidden="1" thickBot="1" x14ac:dyDescent="0.3">
      <c r="A39" s="235" t="s">
        <v>182</v>
      </c>
      <c r="B39" s="236"/>
      <c r="C39" s="236"/>
      <c r="D39" s="236"/>
      <c r="E39" s="236"/>
      <c r="F39" s="236"/>
      <c r="G39" s="237">
        <v>0.6</v>
      </c>
      <c r="H39" s="211">
        <f>H$27*G39</f>
        <v>0</v>
      </c>
      <c r="I39" s="140"/>
      <c r="J39" s="139"/>
      <c r="K39" s="289"/>
      <c r="L39" s="289"/>
      <c r="M39" s="289"/>
      <c r="N39" s="291"/>
      <c r="O39" s="291"/>
      <c r="P39" s="291"/>
      <c r="Q39" s="291"/>
      <c r="R39" s="291"/>
    </row>
    <row r="40" spans="1:20" ht="16.5" hidden="1" thickBot="1" x14ac:dyDescent="0.3">
      <c r="A40" s="235" t="s">
        <v>183</v>
      </c>
      <c r="B40" s="235"/>
      <c r="C40" s="238"/>
      <c r="D40" s="236"/>
      <c r="E40" s="236"/>
      <c r="F40" s="236"/>
      <c r="G40" s="237">
        <v>0.4</v>
      </c>
      <c r="H40" s="211">
        <f t="shared" ref="H40:H42" si="9">H$27*G40</f>
        <v>0</v>
      </c>
      <c r="I40" s="140"/>
      <c r="J40" s="136"/>
      <c r="K40" s="289"/>
      <c r="L40" s="289"/>
      <c r="M40" s="289"/>
      <c r="N40" s="291"/>
      <c r="O40" s="291"/>
      <c r="P40" s="291"/>
      <c r="Q40" s="291"/>
      <c r="R40" s="291"/>
    </row>
    <row r="41" spans="1:20" ht="16.5" hidden="1" thickBot="1" x14ac:dyDescent="0.3">
      <c r="A41" s="235" t="s">
        <v>185</v>
      </c>
      <c r="B41" s="235"/>
      <c r="C41" s="238"/>
      <c r="D41" s="239"/>
      <c r="E41" s="239"/>
      <c r="F41" s="239"/>
      <c r="G41" s="237">
        <v>0.35</v>
      </c>
      <c r="H41" s="211">
        <f t="shared" si="9"/>
        <v>0</v>
      </c>
      <c r="I41" s="211"/>
      <c r="J41" s="136"/>
      <c r="K41" s="289"/>
      <c r="L41" s="289"/>
      <c r="M41" s="289"/>
      <c r="N41" s="291"/>
      <c r="O41" s="291"/>
      <c r="P41" s="291"/>
      <c r="Q41" s="291"/>
      <c r="R41" s="291"/>
    </row>
    <row r="42" spans="1:20" ht="16.5" hidden="1" thickBot="1" x14ac:dyDescent="0.3">
      <c r="A42" s="235" t="s">
        <v>130</v>
      </c>
      <c r="B42" s="235"/>
      <c r="C42" s="235"/>
      <c r="D42" s="239"/>
      <c r="E42" s="239"/>
      <c r="F42" s="239"/>
      <c r="G42" s="237">
        <v>0.06</v>
      </c>
      <c r="H42" s="211">
        <f t="shared" si="9"/>
        <v>0</v>
      </c>
      <c r="I42" s="140"/>
      <c r="J42" s="136"/>
      <c r="K42" s="289"/>
      <c r="L42" s="289"/>
      <c r="M42" s="289"/>
      <c r="N42" s="291"/>
      <c r="O42" s="291"/>
      <c r="P42" s="291"/>
      <c r="Q42" s="291"/>
      <c r="R42" s="291"/>
    </row>
    <row r="43" spans="1:20" ht="16.5" hidden="1" thickBot="1" x14ac:dyDescent="0.3">
      <c r="A43" s="235" t="s">
        <v>208</v>
      </c>
      <c r="B43" s="235"/>
      <c r="C43" s="235"/>
      <c r="D43" s="239"/>
      <c r="E43" s="239"/>
      <c r="F43" s="239"/>
      <c r="G43" s="237">
        <f>H43/H5</f>
        <v>0</v>
      </c>
      <c r="H43" s="211">
        <f>H17</f>
        <v>0</v>
      </c>
      <c r="I43" s="140"/>
      <c r="K43" s="289"/>
      <c r="L43" s="289"/>
      <c r="M43" s="289"/>
      <c r="N43" s="291"/>
      <c r="O43" s="291"/>
      <c r="P43" s="291"/>
      <c r="Q43" s="291"/>
      <c r="R43" s="291"/>
    </row>
    <row r="44" spans="1:20" ht="15.75" hidden="1" thickBot="1" x14ac:dyDescent="0.25">
      <c r="A44" s="404" t="s">
        <v>210</v>
      </c>
      <c r="B44" s="405"/>
      <c r="C44" s="405"/>
      <c r="D44" s="405"/>
      <c r="E44" s="405"/>
      <c r="F44" s="405"/>
      <c r="G44" s="237" t="e">
        <f>H44/H27</f>
        <v>#DIV/0!</v>
      </c>
      <c r="H44" s="211">
        <f>IF(AND(H18&gt;=Y27,H18&lt;=Z27),AA27,IF(AND(H18&gt;=Y28,H18&lt;=Z28),AA28,IF(AND(H18&gt;=Y29,H18&lt;=Z29),AA29,IF(AND(H18&gt;=Y30,H18&lt;=Z30),AA30,IF(H18&gt;Z31,AA31,Invalido)))))</f>
        <v>1041410.79</v>
      </c>
      <c r="I44" s="140"/>
      <c r="K44" s="289"/>
      <c r="L44" s="289"/>
      <c r="M44" s="289"/>
      <c r="N44" s="291"/>
      <c r="O44" s="291"/>
      <c r="P44" s="291"/>
      <c r="Q44" s="291"/>
      <c r="R44" s="291"/>
    </row>
    <row r="45" spans="1:20" ht="16.5" hidden="1" thickBot="1" x14ac:dyDescent="0.3">
      <c r="A45" s="235" t="s">
        <v>221</v>
      </c>
      <c r="B45" s="235"/>
      <c r="C45" s="238"/>
      <c r="D45" s="236"/>
      <c r="E45" s="236"/>
      <c r="F45" s="236"/>
      <c r="G45" s="237">
        <v>0.12</v>
      </c>
      <c r="H45" s="240">
        <f>G45*R23</f>
        <v>0</v>
      </c>
      <c r="I45" s="140"/>
      <c r="K45" s="289"/>
      <c r="L45" s="289"/>
      <c r="M45" s="289"/>
      <c r="N45" s="291"/>
      <c r="O45" s="291"/>
      <c r="P45" s="291"/>
      <c r="Q45" s="291"/>
      <c r="R45" s="291"/>
    </row>
    <row r="46" spans="1:20" ht="15.75" hidden="1" thickBot="1" x14ac:dyDescent="0.25">
      <c r="A46" s="398" t="s">
        <v>194</v>
      </c>
      <c r="B46" s="399"/>
      <c r="C46" s="399"/>
      <c r="D46" s="399"/>
      <c r="E46" s="399"/>
      <c r="F46" s="400"/>
      <c r="G46" s="242">
        <v>0</v>
      </c>
      <c r="H46" s="211"/>
      <c r="I46" s="136"/>
      <c r="J46" s="136"/>
      <c r="K46" s="291"/>
      <c r="L46" s="291"/>
      <c r="M46" s="291"/>
      <c r="N46" s="291"/>
      <c r="O46" s="291"/>
      <c r="P46" s="291"/>
      <c r="Q46" s="291"/>
      <c r="R46" s="291"/>
      <c r="T46" s="139"/>
    </row>
    <row r="47" spans="1:20" ht="16.5" thickBot="1" x14ac:dyDescent="0.3">
      <c r="A47" s="406" t="s">
        <v>133</v>
      </c>
      <c r="B47" s="407"/>
      <c r="C47" s="407"/>
      <c r="D47" s="407"/>
      <c r="E47" s="407"/>
      <c r="F47" s="407"/>
      <c r="G47" s="407"/>
      <c r="H47" s="407"/>
      <c r="I47" s="252">
        <f>+H50/H37</f>
        <v>0.10499999999999998</v>
      </c>
      <c r="J47" s="301" t="s">
        <v>171</v>
      </c>
      <c r="K47" s="379"/>
      <c r="L47" s="379"/>
      <c r="M47" s="379"/>
      <c r="N47" s="379"/>
      <c r="O47" s="379"/>
      <c r="P47" s="379"/>
      <c r="Q47" s="379"/>
      <c r="R47" s="379"/>
      <c r="T47" s="139"/>
    </row>
    <row r="48" spans="1:20" ht="15.75" x14ac:dyDescent="0.25">
      <c r="A48" s="410" t="s">
        <v>133</v>
      </c>
      <c r="B48" s="190"/>
      <c r="C48" s="190"/>
      <c r="D48" s="191"/>
      <c r="E48" s="192" t="s">
        <v>131</v>
      </c>
      <c r="F48" s="192"/>
      <c r="G48" s="193">
        <v>0.03</v>
      </c>
      <c r="H48" s="194">
        <f>IF($H$37*G48=0,0,IF(G48*H37&lt;$K$5,$K$5,G48*H37))</f>
        <v>20828.215799999998</v>
      </c>
      <c r="I48" s="184"/>
      <c r="J48" s="185"/>
      <c r="K48" s="422"/>
      <c r="L48" s="422"/>
      <c r="M48" s="422"/>
      <c r="N48" s="422"/>
      <c r="O48" s="422"/>
      <c r="P48" s="422"/>
      <c r="Q48" s="422"/>
      <c r="R48" s="281"/>
      <c r="T48" s="139"/>
    </row>
    <row r="49" spans="1:20" ht="15.75" x14ac:dyDescent="0.25">
      <c r="A49" s="411"/>
      <c r="B49" s="190"/>
      <c r="C49" s="190"/>
      <c r="D49" s="191"/>
      <c r="E49" s="192" t="s">
        <v>132</v>
      </c>
      <c r="F49" s="192"/>
      <c r="G49" s="193">
        <v>7.4999999999999997E-2</v>
      </c>
      <c r="H49" s="194">
        <f>+G49*H37</f>
        <v>52070.539499999999</v>
      </c>
      <c r="I49" s="136"/>
      <c r="J49" s="136"/>
      <c r="K49" s="412"/>
      <c r="L49" s="244"/>
      <c r="M49" s="244"/>
      <c r="N49" s="244"/>
      <c r="O49" s="294"/>
      <c r="P49" s="276"/>
      <c r="Q49" s="298"/>
      <c r="R49" s="291"/>
      <c r="T49" s="139"/>
    </row>
    <row r="50" spans="1:20" ht="15.75" x14ac:dyDescent="0.25">
      <c r="A50" s="247"/>
      <c r="B50" s="248"/>
      <c r="C50" s="248"/>
      <c r="D50" s="249"/>
      <c r="E50" s="249"/>
      <c r="F50" s="249"/>
      <c r="G50" s="250" t="s">
        <v>134</v>
      </c>
      <c r="H50" s="251">
        <f>SUM(H48:H49)</f>
        <v>72898.75529999999</v>
      </c>
      <c r="I50" s="136"/>
      <c r="J50" s="136"/>
      <c r="K50" s="412"/>
      <c r="L50" s="423"/>
      <c r="M50" s="423"/>
      <c r="N50" s="423"/>
      <c r="O50" s="299"/>
      <c r="P50" s="291"/>
      <c r="Q50" s="298"/>
      <c r="R50" s="291"/>
      <c r="T50" s="139"/>
    </row>
    <row r="51" spans="1:20" ht="15.75" x14ac:dyDescent="0.25">
      <c r="A51" s="243"/>
      <c r="B51" s="243"/>
      <c r="C51" s="243"/>
      <c r="D51" s="244"/>
      <c r="E51" s="244"/>
      <c r="F51" s="244"/>
      <c r="G51" s="245"/>
      <c r="H51" s="246"/>
      <c r="I51" s="136"/>
      <c r="J51" s="136"/>
      <c r="K51" s="412"/>
      <c r="L51" s="423"/>
      <c r="M51" s="423"/>
      <c r="N51" s="423"/>
      <c r="O51" s="291"/>
      <c r="P51" s="291"/>
      <c r="Q51" s="298"/>
      <c r="R51" s="244"/>
      <c r="T51" s="139"/>
    </row>
    <row r="52" spans="1:20" x14ac:dyDescent="0.2">
      <c r="A52" s="140" t="s">
        <v>142</v>
      </c>
      <c r="B52" s="140"/>
      <c r="C52" s="140"/>
      <c r="D52" s="136"/>
      <c r="E52" s="136"/>
      <c r="F52" s="136"/>
      <c r="G52" s="195"/>
      <c r="H52" s="196"/>
      <c r="I52" s="136"/>
      <c r="J52" s="136"/>
      <c r="K52"/>
      <c r="L52"/>
      <c r="M52"/>
    </row>
    <row r="53" spans="1:20" ht="15" x14ac:dyDescent="0.2">
      <c r="A53" s="408" t="s">
        <v>139</v>
      </c>
      <c r="B53" s="408"/>
      <c r="C53" s="408"/>
      <c r="D53" s="408"/>
      <c r="E53" s="408"/>
      <c r="F53" s="408"/>
      <c r="G53" s="408"/>
      <c r="H53" s="408"/>
      <c r="I53" s="136"/>
      <c r="J53" s="136"/>
      <c r="K53"/>
      <c r="L53"/>
      <c r="M53"/>
    </row>
    <row r="54" spans="1:20" ht="15" x14ac:dyDescent="0.2">
      <c r="A54" s="409" t="s">
        <v>143</v>
      </c>
      <c r="B54" s="409"/>
      <c r="C54" s="409"/>
      <c r="D54" s="409"/>
      <c r="E54" s="409"/>
      <c r="F54" s="409"/>
      <c r="G54" s="409"/>
      <c r="H54" s="409"/>
      <c r="I54" s="136"/>
      <c r="J54" s="136"/>
      <c r="K54"/>
      <c r="L54" s="136"/>
      <c r="M54" s="136"/>
      <c r="N54" s="136"/>
      <c r="O54" s="136"/>
      <c r="P54" s="136"/>
      <c r="Q54" s="136"/>
      <c r="R54" s="136"/>
    </row>
    <row r="55" spans="1:20" ht="15" x14ac:dyDescent="0.25">
      <c r="A55" s="197" t="s">
        <v>173</v>
      </c>
      <c r="B55" s="197"/>
      <c r="C55" s="197"/>
      <c r="D55" s="197"/>
      <c r="E55" s="197"/>
      <c r="F55" s="197"/>
      <c r="G55" s="197"/>
      <c r="H55" s="197"/>
      <c r="I55" s="136"/>
      <c r="J55" s="136"/>
      <c r="K55" s="136"/>
      <c r="L55" s="204"/>
      <c r="M55" s="205"/>
      <c r="N55" s="136"/>
      <c r="O55" s="136"/>
      <c r="P55" s="136"/>
      <c r="Q55" s="136"/>
      <c r="R55" s="136"/>
    </row>
    <row r="56" spans="1:20" ht="15" x14ac:dyDescent="0.25">
      <c r="A56" s="198" t="s">
        <v>195</v>
      </c>
      <c r="B56" s="199"/>
      <c r="C56" s="199"/>
      <c r="D56" s="199"/>
      <c r="E56" s="199"/>
      <c r="F56" s="199"/>
      <c r="G56" s="199"/>
      <c r="H56" s="199"/>
      <c r="I56" s="201"/>
      <c r="J56" s="201"/>
      <c r="K56" s="204"/>
      <c r="L56" s="204"/>
      <c r="M56" s="205"/>
      <c r="N56" s="136"/>
      <c r="O56" s="136"/>
      <c r="P56" s="136"/>
      <c r="Q56" s="136"/>
      <c r="R56" s="136"/>
    </row>
    <row r="57" spans="1:20" x14ac:dyDescent="0.2">
      <c r="A57" s="140"/>
      <c r="B57" s="136"/>
      <c r="C57" s="136"/>
      <c r="D57" s="136"/>
      <c r="E57" s="136"/>
      <c r="F57" s="136"/>
      <c r="G57" s="136"/>
      <c r="H57" s="136"/>
      <c r="I57" s="201"/>
      <c r="J57" s="201"/>
      <c r="K57" s="204"/>
      <c r="L57" s="204"/>
      <c r="M57" s="205"/>
      <c r="N57" s="136"/>
      <c r="O57" s="136"/>
      <c r="P57" s="136"/>
      <c r="Q57" s="136"/>
      <c r="R57" s="136"/>
    </row>
    <row r="58" spans="1:20" x14ac:dyDescent="0.2">
      <c r="A58" s="200" t="s">
        <v>145</v>
      </c>
      <c r="B58" s="136"/>
      <c r="C58" s="136"/>
      <c r="D58" s="136"/>
      <c r="E58" s="136"/>
      <c r="F58" s="136"/>
      <c r="G58" s="136"/>
      <c r="H58" s="136"/>
      <c r="I58" s="201"/>
      <c r="J58" s="201"/>
      <c r="K58" s="204"/>
      <c r="L58" s="217"/>
      <c r="M58" s="217"/>
      <c r="N58" s="136"/>
      <c r="O58" s="136"/>
      <c r="P58" s="136"/>
      <c r="Q58" s="136"/>
      <c r="R58" s="136"/>
    </row>
    <row r="59" spans="1:20" x14ac:dyDescent="0.2">
      <c r="A59" s="201" t="s">
        <v>177</v>
      </c>
      <c r="B59" s="202"/>
      <c r="C59" s="201"/>
      <c r="D59" s="201"/>
      <c r="E59" s="201"/>
      <c r="F59" s="201"/>
      <c r="G59" s="201"/>
      <c r="H59" s="203"/>
      <c r="I59" s="217"/>
      <c r="J59" s="217"/>
      <c r="K59" s="217"/>
      <c r="L59" s="206"/>
      <c r="M59" s="206"/>
      <c r="N59" s="136"/>
      <c r="O59" s="136"/>
      <c r="P59" s="136"/>
      <c r="Q59" s="136"/>
      <c r="R59" s="136"/>
    </row>
    <row r="60" spans="1:20" x14ac:dyDescent="0.2">
      <c r="A60" s="205" t="s">
        <v>178</v>
      </c>
      <c r="B60" s="201"/>
      <c r="C60" s="201"/>
      <c r="D60" s="201"/>
      <c r="E60" s="201"/>
      <c r="F60" s="201"/>
      <c r="G60" s="201"/>
      <c r="H60" s="201"/>
      <c r="I60" s="206"/>
      <c r="J60" s="206"/>
      <c r="K60" s="206"/>
      <c r="L60" s="204"/>
      <c r="M60" s="205"/>
      <c r="N60" s="136"/>
      <c r="O60" s="136"/>
      <c r="P60" s="136"/>
      <c r="Q60" s="136"/>
      <c r="R60" s="136"/>
    </row>
    <row r="61" spans="1:20" x14ac:dyDescent="0.2">
      <c r="A61" s="201" t="s">
        <v>146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4"/>
      <c r="L61" s="204"/>
      <c r="M61" s="205"/>
      <c r="N61" s="136"/>
      <c r="O61" s="136"/>
      <c r="P61" s="136"/>
      <c r="Q61" s="136"/>
      <c r="R61" s="136"/>
    </row>
    <row r="62" spans="1:20" x14ac:dyDescent="0.2">
      <c r="A62" s="217" t="s">
        <v>175</v>
      </c>
      <c r="B62" s="217"/>
      <c r="C62" s="217"/>
      <c r="D62" s="217"/>
      <c r="E62" s="217"/>
      <c r="F62" s="217"/>
      <c r="G62" s="217"/>
      <c r="H62" s="217"/>
      <c r="I62" s="201"/>
      <c r="J62" s="201"/>
      <c r="K62" s="204"/>
      <c r="L62" s="205"/>
      <c r="M62" s="205"/>
      <c r="N62" s="136"/>
      <c r="O62" s="136"/>
      <c r="P62" s="136"/>
      <c r="Q62" s="136"/>
      <c r="R62" s="136"/>
    </row>
    <row r="63" spans="1:20" x14ac:dyDescent="0.2">
      <c r="A63" s="206" t="s">
        <v>179</v>
      </c>
      <c r="B63" s="206"/>
      <c r="C63" s="206"/>
      <c r="D63" s="206"/>
      <c r="E63" s="206"/>
      <c r="F63" s="206"/>
      <c r="G63" s="206"/>
      <c r="H63" s="206"/>
      <c r="I63" s="208"/>
      <c r="J63" s="208"/>
      <c r="K63" s="205"/>
      <c r="L63" s="205"/>
      <c r="M63" s="205"/>
      <c r="N63" s="136"/>
      <c r="O63" s="136"/>
      <c r="P63" s="136"/>
      <c r="Q63" s="136"/>
      <c r="R63" s="136"/>
    </row>
    <row r="64" spans="1:20" x14ac:dyDescent="0.2">
      <c r="A64" s="397" t="s">
        <v>187</v>
      </c>
      <c r="B64" s="397"/>
      <c r="C64" s="397"/>
      <c r="D64" s="397"/>
      <c r="E64" s="397"/>
      <c r="F64" s="397"/>
      <c r="G64" s="397"/>
      <c r="H64" s="397"/>
      <c r="I64" s="208"/>
      <c r="J64" s="208"/>
      <c r="K64" s="205"/>
      <c r="L64" s="136"/>
      <c r="M64" s="136"/>
      <c r="N64" s="136"/>
      <c r="O64" s="136"/>
      <c r="P64" s="136"/>
      <c r="Q64" s="136"/>
      <c r="R64" s="136"/>
    </row>
    <row r="65" spans="1:18" x14ac:dyDescent="0.2">
      <c r="A65" s="207" t="s">
        <v>147</v>
      </c>
      <c r="B65" s="206"/>
      <c r="C65" s="206"/>
      <c r="D65" s="206"/>
      <c r="E65" s="206"/>
      <c r="F65" s="206"/>
      <c r="G65" s="206"/>
      <c r="H65" s="206"/>
      <c r="I65" s="209"/>
      <c r="J65" s="209"/>
      <c r="K65" s="136"/>
      <c r="L65" s="136"/>
      <c r="M65" s="136"/>
      <c r="N65" s="136"/>
      <c r="O65" s="136"/>
      <c r="P65" s="136"/>
      <c r="Q65" s="136"/>
      <c r="R65" s="136"/>
    </row>
    <row r="66" spans="1:18" x14ac:dyDescent="0.2">
      <c r="A66" s="397" t="s">
        <v>180</v>
      </c>
      <c r="B66" s="397"/>
      <c r="C66" s="397"/>
      <c r="D66" s="397"/>
      <c r="E66" s="397"/>
      <c r="F66" s="397"/>
      <c r="G66" s="397"/>
      <c r="H66" s="397"/>
      <c r="I66" s="209"/>
      <c r="J66" s="209"/>
      <c r="K66" s="136"/>
    </row>
    <row r="67" spans="1:18" x14ac:dyDescent="0.2">
      <c r="A67" s="397" t="s">
        <v>186</v>
      </c>
      <c r="B67" s="397"/>
      <c r="C67" s="397"/>
      <c r="D67" s="397"/>
      <c r="E67" s="397"/>
      <c r="F67" s="397"/>
      <c r="G67" s="397"/>
      <c r="H67" s="397"/>
    </row>
    <row r="68" spans="1:18" x14ac:dyDescent="0.2">
      <c r="A68" s="209"/>
      <c r="B68" s="209"/>
      <c r="C68" s="209"/>
      <c r="D68" s="209"/>
      <c r="E68" s="209"/>
      <c r="F68" s="209"/>
      <c r="G68" s="209"/>
      <c r="H68" s="209"/>
    </row>
    <row r="69" spans="1:18" x14ac:dyDescent="0.2">
      <c r="A69" s="209"/>
      <c r="B69" s="209"/>
      <c r="C69" s="209"/>
      <c r="D69" s="209"/>
      <c r="E69" s="209"/>
      <c r="F69" s="209"/>
      <c r="G69" s="209"/>
      <c r="H69" s="209"/>
    </row>
  </sheetData>
  <sheetProtection algorithmName="SHA-512" hashValue="5FS7cO1qSpwcgookNs07/0c2nII6Klc2PeWjTXcfok0u3exj8e6/5DfSWTzWUoSBCagOBGBNFDkd698ssWmMqA==" saltValue="3TA/ILsRKBBukv9OjoRqSA==" spinCount="100000" sheet="1" objects="1" scenarios="1"/>
  <mergeCells count="50">
    <mergeCell ref="A19:H19"/>
    <mergeCell ref="A27:E27"/>
    <mergeCell ref="K28:M28"/>
    <mergeCell ref="A10:C10"/>
    <mergeCell ref="A8:H8"/>
    <mergeCell ref="K8:R8"/>
    <mergeCell ref="K9:M9"/>
    <mergeCell ref="K15:R15"/>
    <mergeCell ref="A6:F6"/>
    <mergeCell ref="A64:H64"/>
    <mergeCell ref="A66:H66"/>
    <mergeCell ref="K49:K51"/>
    <mergeCell ref="Y26:AA26"/>
    <mergeCell ref="A17:C17"/>
    <mergeCell ref="A30:F30"/>
    <mergeCell ref="A29:H29"/>
    <mergeCell ref="K31:R31"/>
    <mergeCell ref="A31:F31"/>
    <mergeCell ref="A34:F34"/>
    <mergeCell ref="K36:M37"/>
    <mergeCell ref="K29:M29"/>
    <mergeCell ref="K48:Q48"/>
    <mergeCell ref="L50:N50"/>
    <mergeCell ref="L51:N51"/>
    <mergeCell ref="A67:H67"/>
    <mergeCell ref="A35:F35"/>
    <mergeCell ref="A46:F46"/>
    <mergeCell ref="A37:G37"/>
    <mergeCell ref="A36:F36"/>
    <mergeCell ref="A44:F44"/>
    <mergeCell ref="A47:H47"/>
    <mergeCell ref="A53:H53"/>
    <mergeCell ref="A54:H54"/>
    <mergeCell ref="A48:A49"/>
    <mergeCell ref="K47:R47"/>
    <mergeCell ref="A9:C9"/>
    <mergeCell ref="A11:C11"/>
    <mergeCell ref="A12:C12"/>
    <mergeCell ref="K27:R27"/>
    <mergeCell ref="K32:O32"/>
    <mergeCell ref="K10:M10"/>
    <mergeCell ref="K11:M11"/>
    <mergeCell ref="K12:M12"/>
    <mergeCell ref="K13:M13"/>
    <mergeCell ref="A15:C15"/>
    <mergeCell ref="A14:C14"/>
    <mergeCell ref="A16:C16"/>
    <mergeCell ref="A13:C13"/>
    <mergeCell ref="A32:F32"/>
    <mergeCell ref="A33:F33"/>
  </mergeCells>
  <phoneticPr fontId="30" type="noConversion"/>
  <dataValidations disablePrompts="1" count="2">
    <dataValidation type="list" allowBlank="1" showInputMessage="1" showErrorMessage="1" sqref="E44" xr:uid="{00000000-0002-0000-0100-000000000000}">
      <formula1>$A$39:$A$45</formula1>
    </dataValidation>
    <dataValidation type="list" allowBlank="1" showInputMessage="1" showErrorMessage="1" sqref="A30:F36" xr:uid="{00000000-0002-0000-0100-000001000000}">
      <formula1>$A$39:$A$46</formula1>
    </dataValidation>
  </dataValidations>
  <pageMargins left="0.59055118110236227" right="0.19685039370078741" top="0.39370078740157483" bottom="0.98425196850393704" header="0.39370078740157483" footer="0"/>
  <pageSetup paperSize="5" orientation="landscape" horizontalDpi="4294967293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0100-000002000000}">
          <x14:formula1>
            <xm:f>'TABLA DE INDICES'!$B$178:$B$184</xm:f>
          </x14:formula1>
          <xm:sqref>A17:C17</xm:sqref>
        </x14:dataValidation>
        <x14:dataValidation type="list" allowBlank="1" showInputMessage="1" showErrorMessage="1" xr:uid="{00000000-0002-0000-0100-000003000000}">
          <x14:formula1>
            <xm:f>'TABLA DE INDICES'!$F$15:$F$17</xm:f>
          </x14:formula1>
          <xm:sqref>N29 D10:D17</xm:sqref>
        </x14:dataValidation>
        <x14:dataValidation type="list" allowBlank="1" showInputMessage="1" showErrorMessage="1" xr:uid="{00000000-0002-0000-0100-000004000000}">
          <x14:formula1>
            <xm:f>'TABLA DE INDICES'!$D$207:$D$209</xm:f>
          </x14:formula1>
          <xm:sqref>O34</xm:sqref>
        </x14:dataValidation>
        <x14:dataValidation type="list" allowBlank="1" showInputMessage="1" showErrorMessage="1" xr:uid="{00000000-0002-0000-0100-000005000000}">
          <x14:formula1>
            <xm:f>'TABLA DE INDICES'!$D$210:$D$214</xm:f>
          </x14:formula1>
          <xm:sqref>O35</xm:sqref>
        </x14:dataValidation>
        <x14:dataValidation type="list" allowBlank="1" showInputMessage="1" showErrorMessage="1" xr:uid="{00000000-0002-0000-0100-000006000000}">
          <x14:formula1>
            <xm:f>'TABLA DE INDICES'!$D$215:$D$217</xm:f>
          </x14:formula1>
          <xm:sqref>O36</xm:sqref>
        </x14:dataValidation>
        <x14:dataValidation type="list" allowBlank="1" showInputMessage="1" showErrorMessage="1" xr:uid="{00000000-0002-0000-0100-000007000000}">
          <x14:formula1>
            <xm:f>'TABLA DE INDICES'!$D$218:$D$220</xm:f>
          </x14:formula1>
          <xm:sqref>O37</xm:sqref>
        </x14:dataValidation>
        <x14:dataValidation type="list" allowBlank="1" showInputMessage="1" showErrorMessage="1" xr:uid="{00000000-0002-0000-0100-000008000000}">
          <x14:formula1>
            <xm:f>'TABLA DE INDICES'!$D$221:$D$224</xm:f>
          </x14:formula1>
          <xm:sqref>O38</xm:sqref>
        </x14:dataValidation>
        <x14:dataValidation type="list" allowBlank="1" showInputMessage="1" showErrorMessage="1" xr:uid="{00000000-0002-0000-0100-000009000000}">
          <x14:formula1>
            <xm:f>'TABLA DE INDICES'!$D$225:$D$226</xm:f>
          </x14:formula1>
          <xm:sqref>O49</xm:sqref>
        </x14:dataValidation>
        <x14:dataValidation type="list" allowBlank="1" showErrorMessage="1" promptTitle="BUSCAR TIPOLOGIA " prompt="Seleccione algunas de las opciones" xr:uid="{00000000-0002-0000-0100-00000A000000}">
          <x14:formula1>
            <xm:f>'TABLA DE INDICES'!$B$8:$B$173</xm:f>
          </x14:formula1>
          <xm:sqref>A10:C10 K10:K12</xm:sqref>
        </x14:dataValidation>
        <x14:dataValidation type="list" allowBlank="1" showInputMessage="1" showErrorMessage="1" xr:uid="{00000000-0002-0000-0100-00000B000000}">
          <x14:formula1>
            <xm:f>'TABLA DE INDICES'!$B$8:$B$173</xm:f>
          </x14:formula1>
          <xm:sqref>A11:C15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DE INDICES</vt:lpstr>
      <vt:lpstr>PLANILLA CALCULO DE HONORARIOS</vt:lpstr>
      <vt:lpstr>'PLANILLA CALCULO DE HONORARIOS'!Área_de_impresión</vt:lpstr>
      <vt:lpstr>'TABLA DE INDICES'!Área_de_impresión</vt:lpstr>
      <vt:lpstr>COLEGIO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CPAUCH</cp:lastModifiedBy>
  <cp:lastPrinted>2022-06-01T11:13:54Z</cp:lastPrinted>
  <dcterms:created xsi:type="dcterms:W3CDTF">2005-07-14T23:15:53Z</dcterms:created>
  <dcterms:modified xsi:type="dcterms:W3CDTF">2025-05-14T11:40:23Z</dcterms:modified>
</cp:coreProperties>
</file>