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miliano\Downloads\"/>
    </mc:Choice>
  </mc:AlternateContent>
  <xr:revisionPtr revIDLastSave="0" documentId="13_ncr:1_{74175C8E-BDB3-4A45-A131-77F46BAA7DC8}" xr6:coauthVersionLast="47" xr6:coauthVersionMax="47" xr10:uidLastSave="{00000000-0000-0000-0000-000000000000}"/>
  <workbookProtection workbookAlgorithmName="SHA-512" workbookHashValue="4FicBqK0CVJz+rRAUDoQkBFMFsQ0OxiErKcOWo+pAvtX/CRfmYZgpF6NLf7Q64+l0fS2BjR2YIVNxgNnJ5QcEw==" workbookSaltValue="EJ6pjY7gSipvHd1ehrCzxg==" workbookSpinCount="100000" lockStructure="1"/>
  <bookViews>
    <workbookView xWindow="-120" yWindow="-120" windowWidth="20730" windowHeight="11760" tabRatio="431" activeTab="1" xr2:uid="{00000000-000D-0000-FFFF-FFFF00000000}"/>
  </bookViews>
  <sheets>
    <sheet name="TABLA DE INDICES" sheetId="17" r:id="rId1"/>
    <sheet name="PLANILLA CALCULO DE HONORARIOS" sheetId="19" r:id="rId2"/>
  </sheets>
  <definedNames>
    <definedName name="_xlnm.Print_Area" localSheetId="1">'PLANILLA CALCULO DE HONORARIOS'!$A$3:$M$55</definedName>
    <definedName name="_xlnm.Print_Area" localSheetId="0">'TABLA DE INDICES'!$B$1:$D$150</definedName>
    <definedName name="COLEGIO">'TABLA DE INDICES'!$B$4:$D$147</definedName>
    <definedName name="ING">#REF!</definedName>
    <definedName name="TIPO">TIPOINTERV[]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" i="17" l="1"/>
  <c r="D165" i="17"/>
  <c r="D173" i="17"/>
  <c r="D172" i="17"/>
  <c r="D171" i="17"/>
  <c r="D191" i="17"/>
  <c r="D192" i="17"/>
  <c r="D190" i="17"/>
  <c r="G36" i="19"/>
  <c r="E14" i="19"/>
  <c r="E15" i="19"/>
  <c r="E13" i="19"/>
  <c r="F12" i="19"/>
  <c r="F11" i="19"/>
  <c r="F10" i="19"/>
  <c r="Q38" i="19"/>
  <c r="Q37" i="19"/>
  <c r="Q36" i="19"/>
  <c r="Q35" i="19"/>
  <c r="R13" i="19"/>
  <c r="Q34" i="19"/>
  <c r="R29" i="19"/>
  <c r="R30" i="19" s="1"/>
  <c r="R33" i="19" s="1"/>
  <c r="G31" i="19"/>
  <c r="G33" i="19"/>
  <c r="G34" i="19"/>
  <c r="G35" i="19"/>
  <c r="S22" i="19"/>
  <c r="O22" i="19"/>
  <c r="S21" i="19"/>
  <c r="O21" i="19"/>
  <c r="S20" i="19"/>
  <c r="O20" i="19"/>
  <c r="S19" i="19"/>
  <c r="O19" i="19"/>
  <c r="S18" i="19"/>
  <c r="O18" i="19"/>
  <c r="S17" i="19"/>
  <c r="O17" i="19"/>
  <c r="S16" i="19"/>
  <c r="O16" i="19"/>
  <c r="R40" i="19" l="1"/>
  <c r="J224" i="17" s="1"/>
  <c r="F17" i="19"/>
  <c r="H17" i="19" s="1"/>
  <c r="H55" i="19" s="1"/>
  <c r="E16" i="19"/>
  <c r="H16" i="19" s="1"/>
  <c r="D181" i="17"/>
  <c r="D182" i="17"/>
  <c r="D183" i="17"/>
  <c r="D184" i="17"/>
  <c r="D185" i="17"/>
  <c r="D180" i="17"/>
  <c r="J225" i="17" l="1"/>
  <c r="Q41" i="19" s="1"/>
  <c r="R45" i="19" s="1"/>
  <c r="E11" i="19"/>
  <c r="H56" i="19" l="1"/>
  <c r="D157" i="17"/>
  <c r="D156" i="17"/>
  <c r="D155" i="17"/>
  <c r="H57" i="19" l="1"/>
  <c r="I54" i="19" s="1"/>
  <c r="H5" i="19"/>
  <c r="H46" i="19" l="1"/>
  <c r="G46" i="19" s="1"/>
  <c r="K5" i="19"/>
  <c r="AA30" i="19"/>
  <c r="Z29" i="19"/>
  <c r="AA29" i="19"/>
  <c r="Y29" i="19"/>
  <c r="Y30" i="19"/>
  <c r="Z30" i="19"/>
  <c r="Y28" i="19"/>
  <c r="L19" i="19"/>
  <c r="L18" i="19"/>
  <c r="L17" i="19"/>
  <c r="L21" i="19"/>
  <c r="L20" i="19"/>
  <c r="L22" i="19"/>
  <c r="Z31" i="19"/>
  <c r="Z28" i="19"/>
  <c r="Z27" i="19"/>
  <c r="AA27" i="19"/>
  <c r="AA28" i="19"/>
  <c r="AA31" i="19"/>
  <c r="E10" i="19"/>
  <c r="H10" i="19" s="1"/>
  <c r="I21" i="19"/>
  <c r="B21" i="19" s="1"/>
  <c r="I22" i="19"/>
  <c r="B22" i="19" s="1"/>
  <c r="I23" i="19"/>
  <c r="B23" i="19" s="1"/>
  <c r="I24" i="19"/>
  <c r="B24" i="19" s="1"/>
  <c r="E23" i="19" l="1"/>
  <c r="E22" i="19"/>
  <c r="D149" i="17" l="1"/>
  <c r="D148" i="17"/>
  <c r="D147" i="17"/>
  <c r="D146" i="17"/>
  <c r="D145" i="17"/>
  <c r="D144" i="17"/>
  <c r="D143" i="17"/>
  <c r="D139" i="17"/>
  <c r="D138" i="17"/>
  <c r="D137" i="17"/>
  <c r="D134" i="17"/>
  <c r="D133" i="17"/>
  <c r="D132" i="17"/>
  <c r="D131" i="17"/>
  <c r="D130" i="17"/>
  <c r="D129" i="17"/>
  <c r="D126" i="17"/>
  <c r="D125" i="17"/>
  <c r="D124" i="17"/>
  <c r="D123" i="17"/>
  <c r="D120" i="17"/>
  <c r="D119" i="17"/>
  <c r="D118" i="17"/>
  <c r="D117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0" i="17"/>
  <c r="D99" i="17"/>
  <c r="D98" i="17"/>
  <c r="D97" i="17"/>
  <c r="D96" i="17"/>
  <c r="D95" i="17"/>
  <c r="D94" i="17"/>
  <c r="D93" i="17"/>
  <c r="D90" i="17"/>
  <c r="D89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5" i="17"/>
  <c r="D64" i="17"/>
  <c r="D63" i="17"/>
  <c r="D60" i="17"/>
  <c r="D59" i="17"/>
  <c r="D58" i="17"/>
  <c r="D57" i="17"/>
  <c r="D56" i="17"/>
  <c r="D55" i="17"/>
  <c r="D54" i="17"/>
  <c r="D53" i="17"/>
  <c r="D52" i="17"/>
  <c r="D49" i="17"/>
  <c r="D48" i="17"/>
  <c r="D47" i="17"/>
  <c r="D46" i="17"/>
  <c r="D45" i="17"/>
  <c r="D44" i="17"/>
  <c r="D43" i="17"/>
  <c r="D42" i="17"/>
  <c r="D41" i="17"/>
  <c r="D38" i="17"/>
  <c r="D37" i="17"/>
  <c r="D36" i="17"/>
  <c r="D35" i="17"/>
  <c r="D34" i="17"/>
  <c r="D33" i="17"/>
  <c r="D32" i="17"/>
  <c r="D31" i="17"/>
  <c r="D30" i="17"/>
  <c r="D29" i="17"/>
  <c r="D26" i="17"/>
  <c r="D25" i="17"/>
  <c r="D24" i="17"/>
  <c r="D19" i="17"/>
  <c r="D18" i="17"/>
  <c r="D17" i="17"/>
  <c r="D12" i="17"/>
  <c r="D13" i="17"/>
  <c r="D14" i="17"/>
  <c r="D11" i="17"/>
  <c r="F15" i="19" s="1"/>
  <c r="H15" i="19" s="1"/>
  <c r="D162" i="17"/>
  <c r="D161" i="17"/>
  <c r="D160" i="17"/>
  <c r="P11" i="19" l="1"/>
  <c r="R11" i="19" s="1"/>
  <c r="F14" i="19"/>
  <c r="H14" i="19" s="1"/>
  <c r="F13" i="19"/>
  <c r="H13" i="19" s="1"/>
  <c r="P10" i="19"/>
  <c r="R10" i="19" s="1"/>
  <c r="P12" i="19"/>
  <c r="R12" i="19" s="1"/>
  <c r="E12" i="19"/>
  <c r="R14" i="19" l="1"/>
  <c r="N16" i="19" s="1"/>
  <c r="N17" i="19" s="1"/>
  <c r="N18" i="19" s="1"/>
  <c r="N19" i="19" s="1"/>
  <c r="N20" i="19" s="1"/>
  <c r="N21" i="19" s="1"/>
  <c r="N22" i="19" s="1"/>
  <c r="H12" i="19"/>
  <c r="H11" i="19"/>
  <c r="H18" i="19" l="1"/>
  <c r="H44" i="19" s="1"/>
  <c r="P16" i="19"/>
  <c r="I20" i="19"/>
  <c r="E26" i="19"/>
  <c r="E25" i="19"/>
  <c r="E24" i="19"/>
  <c r="E21" i="19"/>
  <c r="E20" i="19"/>
  <c r="I26" i="19"/>
  <c r="B26" i="19" s="1"/>
  <c r="I25" i="19"/>
  <c r="B25" i="19" s="1"/>
  <c r="H32" i="19" l="1"/>
  <c r="D20" i="19"/>
  <c r="F20" i="19" l="1"/>
  <c r="D21" i="19"/>
  <c r="P17" i="19"/>
  <c r="D22" i="19" l="1"/>
  <c r="F21" i="19"/>
  <c r="P18" i="19"/>
  <c r="F22" i="19" l="1"/>
  <c r="D23" i="19"/>
  <c r="P19" i="19"/>
  <c r="F23" i="19" l="1"/>
  <c r="P20" i="19"/>
  <c r="D24" i="19"/>
  <c r="F24" i="19" l="1"/>
  <c r="D25" i="19"/>
  <c r="P21" i="19"/>
  <c r="F25" i="19" l="1"/>
  <c r="D26" i="19"/>
  <c r="F26" i="19" s="1"/>
  <c r="P22" i="19"/>
  <c r="P23" i="19" s="1"/>
  <c r="R23" i="19" s="1"/>
  <c r="H45" i="19" s="1"/>
  <c r="R24" i="19" l="1"/>
  <c r="S24" i="19"/>
  <c r="F27" i="19"/>
  <c r="H27" i="19" s="1"/>
  <c r="H40" i="19" l="1"/>
  <c r="H39" i="19"/>
  <c r="H41" i="19"/>
  <c r="H42" i="19"/>
  <c r="H33" i="19"/>
  <c r="H35" i="19"/>
  <c r="I27" i="19"/>
  <c r="H34" i="19"/>
  <c r="H36" i="19"/>
  <c r="H31" i="19"/>
  <c r="G44" i="19"/>
  <c r="G32" i="19" l="1"/>
  <c r="G30" i="19"/>
  <c r="H30" i="19"/>
  <c r="H37" i="19" s="1"/>
  <c r="H50" i="19" s="1"/>
  <c r="H51" i="19" l="1"/>
  <c r="H52" i="19" l="1"/>
  <c r="I49" i="19" s="1"/>
</calcChain>
</file>

<file path=xl/sharedStrings.xml><?xml version="1.0" encoding="utf-8"?>
<sst xmlns="http://schemas.openxmlformats.org/spreadsheetml/2006/main" count="403" uniqueCount="293">
  <si>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</si>
  <si>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</si>
  <si>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</si>
  <si>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</si>
  <si>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</si>
  <si>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</si>
  <si>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</si>
  <si>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</si>
  <si>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</si>
  <si>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</si>
  <si>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</si>
  <si>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</si>
  <si>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</si>
  <si>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</si>
  <si>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</si>
  <si>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</si>
  <si>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</si>
  <si>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</si>
  <si>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</si>
  <si>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</si>
  <si>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</si>
  <si>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</si>
  <si>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</si>
  <si>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</si>
  <si>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</si>
  <si>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</si>
  <si>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</si>
  <si>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</si>
  <si>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</si>
  <si>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</si>
  <si>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</si>
  <si>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</si>
  <si>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</si>
  <si>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</si>
  <si>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</si>
  <si>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</si>
  <si>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</si>
  <si>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</si>
  <si>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</si>
  <si>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</si>
  <si>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</si>
  <si>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</si>
  <si>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</si>
  <si>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</si>
  <si>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</si>
  <si>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</si>
  <si>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</si>
  <si>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</si>
  <si>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</si>
  <si>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</si>
  <si>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</si>
  <si>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</si>
  <si>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</si>
  <si>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</si>
  <si>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</si>
  <si>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</si>
  <si>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</si>
  <si>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</si>
  <si>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</si>
  <si>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</si>
  <si>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</si>
  <si>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</si>
  <si>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</si>
  <si>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</si>
  <si>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</si>
  <si>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</si>
  <si>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</si>
  <si>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</si>
  <si>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</si>
  <si>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</si>
  <si>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</si>
  <si>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</si>
  <si>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</si>
  <si>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</si>
  <si>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</si>
  <si>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</si>
  <si>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</si>
  <si>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</si>
  <si>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</si>
  <si>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</si>
  <si>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</si>
  <si>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</si>
  <si>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</si>
  <si>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</si>
  <si>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</si>
  <si>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</si>
  <si>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</si>
  <si>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</si>
  <si>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</si>
  <si>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</si>
  <si>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</si>
  <si>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</si>
  <si>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</si>
  <si>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</si>
  <si>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</si>
  <si>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</si>
  <si>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</si>
  <si>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</si>
  <si>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</si>
  <si>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</si>
  <si>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</si>
  <si>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</si>
  <si>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</si>
  <si>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</si>
  <si>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</si>
  <si>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</si>
  <si>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</si>
  <si>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</si>
  <si>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</si>
  <si>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</si>
  <si>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</si>
  <si>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</si>
  <si>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</si>
  <si>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</si>
  <si>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</si>
  <si>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</si>
  <si>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</si>
  <si>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</si>
  <si>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</si>
  <si>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</si>
  <si>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</si>
  <si>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</si>
  <si>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</si>
  <si>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</si>
  <si>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</si>
  <si>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</si>
  <si>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</si>
  <si>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</si>
  <si>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</si>
  <si>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</si>
  <si>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Relevamiento (según Articulo 52)</t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</si>
  <si>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</si>
  <si>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</si>
  <si>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</si>
  <si>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</si>
  <si>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</si>
  <si>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</si>
  <si>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</si>
  <si>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</si>
  <si>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</si>
  <si>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</si>
  <si>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</si>
  <si>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</si>
  <si>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</si>
  <si>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</si>
  <si>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</si>
  <si>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</si>
  <si>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</si>
  <si>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</si>
  <si>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</si>
  <si>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</si>
  <si>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</si>
  <si>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</si>
  <si>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</si>
  <si>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</si>
  <si>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</si>
  <si>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</si>
  <si>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</si>
  <si>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</si>
  <si>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</si>
  <si>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</si>
  <si>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</si>
  <si>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</si>
  <si>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</si>
  <si>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</si>
  <si>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</si>
  <si>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</si>
  <si>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</si>
  <si>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</si>
  <si>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</si>
  <si>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</si>
  <si>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</si>
  <si>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</si>
  <si>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</si>
  <si>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</si>
  <si>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</si>
  <si>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</si>
  <si>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</si>
  <si>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</si>
  <si>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</si>
  <si>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</si>
  <si>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</si>
  <si>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</si>
  <si>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</si>
  <si>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</si>
  <si>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</si>
  <si>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</si>
  <si>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</si>
  <si>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</si>
  <si>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</si>
  <si>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</si>
  <si>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</si>
  <si>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</si>
  <si>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</si>
  <si>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</si>
  <si>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</si>
  <si>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</si>
  <si>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</si>
  <si>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</si>
  <si>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</si>
  <si>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</si>
  <si>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</si>
  <si>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</si>
  <si>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</si>
  <si>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</si>
  <si>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</si>
  <si>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</si>
  <si>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</si>
  <si>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</si>
  <si>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</si>
  <si>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</si>
  <si>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Articulo 73°: – Honorario representante técnico - CAPACIDAD DE CONTRATACION DE LA EMPRESA CONSTRUCTORA ANTE ENTES OFICIALES</t>
  </si>
  <si>
    <t>HONORARIO MENSUAL (*)</t>
  </si>
  <si>
    <t>hasta 500 K</t>
  </si>
  <si>
    <t>1,50 x "K"</t>
  </si>
  <si>
    <t>entre 501 K y 2000 K</t>
  </si>
  <si>
    <t>1,75 x "K"</t>
  </si>
  <si>
    <t>entre 2001K y 5000 K</t>
  </si>
  <si>
    <t>2,00 x "K"</t>
  </si>
  <si>
    <t>entre 5001K y 15000 K</t>
  </si>
  <si>
    <t>2,50 x "K"</t>
  </si>
  <si>
    <t>Más de 15000 K</t>
  </si>
  <si>
    <t>3,00 x “K"</t>
  </si>
  <si>
    <t>Representante técnico (Artículo 73)</t>
  </si>
  <si>
    <t>RELEVAMIENTO</t>
  </si>
  <si>
    <t>MONTO</t>
  </si>
  <si>
    <t>Hb</t>
  </si>
  <si>
    <t>F1</t>
  </si>
  <si>
    <t>F2</t>
  </si>
  <si>
    <t>F3</t>
  </si>
  <si>
    <t>F4</t>
  </si>
  <si>
    <t>F5</t>
  </si>
  <si>
    <r>
      <t>Artículo</t>
    </r>
    <r>
      <rPr>
        <sz val="10"/>
        <color rgb="FF000000"/>
        <rFont val="Arial"/>
        <family val="2"/>
      </rPr>
      <t xml:space="preserve"> 60</t>
    </r>
    <r>
      <rPr>
        <b/>
        <sz val="10"/>
        <color rgb="FF000000"/>
        <rFont val="Arial"/>
        <family val="2"/>
      </rPr>
      <t xml:space="preserve">°: </t>
    </r>
    <r>
      <rPr>
        <sz val="10"/>
        <color rgb="FF000000"/>
        <rFont val="Arial"/>
        <family val="2"/>
      </rPr>
      <t xml:space="preserve"> HONORARIOS POR PROYECTO Y DIRECCION DE DEMOLICIONES</t>
    </r>
  </si>
  <si>
    <t>COEFICIENTES</t>
  </si>
  <si>
    <t>ESTADO DE CONSERVACION DEL EDIFICIO</t>
  </si>
  <si>
    <t>Bueno</t>
  </si>
  <si>
    <t>Regular</t>
  </si>
  <si>
    <t>Peligroso</t>
  </si>
  <si>
    <t>TIPO DE ESTRUCTURA RESISTENTE</t>
  </si>
  <si>
    <t xml:space="preserve">Mampostería portante con bovedillas de tirantes de hierro </t>
  </si>
  <si>
    <t xml:space="preserve">Mampostería portante con entrepisos de hormigón armado. </t>
  </si>
  <si>
    <t xml:space="preserve">Estructura independiente de hierro. </t>
  </si>
  <si>
    <t xml:space="preserve">Estructura independiente de hormigón armado. </t>
  </si>
  <si>
    <t xml:space="preserve">Estructura independiente de hormigón pretensado. </t>
  </si>
  <si>
    <t>NECESIDAD DE PRECAUCIONES A ADOPTAR</t>
  </si>
  <si>
    <t xml:space="preserve">Relación con linderos </t>
  </si>
  <si>
    <t xml:space="preserve">Nula </t>
  </si>
  <si>
    <t xml:space="preserve">Normal </t>
  </si>
  <si>
    <t xml:space="preserve">Especial </t>
  </si>
  <si>
    <t>Relación con sótanos</t>
  </si>
  <si>
    <t>Normal</t>
  </si>
  <si>
    <t>INFLUENCIA DE LAS CARACTERISTICAS DE LA OBRA</t>
  </si>
  <si>
    <t xml:space="preserve">Normal: planta baja y 2 pisos altos </t>
  </si>
  <si>
    <t xml:space="preserve">Media: 3 a 6 pisos altos </t>
  </si>
  <si>
    <t xml:space="preserve">Alta: más de 6 pisos altos </t>
  </si>
  <si>
    <t xml:space="preserve">Especial: Chimeneas, cubiertas de grandes luces, naves industriales, silos, puentes, etc. </t>
  </si>
  <si>
    <t xml:space="preserve">Honorario por proyecto y dirección (Ht) </t>
  </si>
  <si>
    <t>1,5% del valor de tasación de la obra a valor de reposición, excluido terreno</t>
  </si>
  <si>
    <t>VALOR</t>
  </si>
  <si>
    <t>$ TOTAL</t>
  </si>
  <si>
    <t>Reducción por plantas iguales: Mas de 6 plantas o unidades iguales</t>
  </si>
  <si>
    <t>Hf</t>
  </si>
  <si>
    <t>Demolición</t>
  </si>
  <si>
    <t>Mas de 6 plantas o unidades iguales</t>
  </si>
  <si>
    <t>Formulas</t>
  </si>
  <si>
    <t>SI</t>
  </si>
  <si>
    <t>NO</t>
  </si>
  <si>
    <t>Número total de plantas de la construcción</t>
  </si>
  <si>
    <t>Número de plantas iguales</t>
  </si>
  <si>
    <t>Reducción por plantas iguales</t>
  </si>
  <si>
    <t>Cómputo y Presupuesto SEGÚN Tasación de obra a valor de reposición, excluido terreno.</t>
  </si>
  <si>
    <t>Artículo 52°: Medición y ejecución de planos. Honorarios</t>
  </si>
  <si>
    <t>Artículo 60 - Honorarios por proyecto y dirección  para obras de Demolición</t>
  </si>
  <si>
    <t>Artículo 44°: Honorarios por proyecto y dirección de obras de arquitectura</t>
  </si>
  <si>
    <t>REFACCIONES</t>
  </si>
  <si>
    <t>VIGENCIA DEL 1 DE JUNIO AL 31 DE DICIEMBRE 2021</t>
  </si>
  <si>
    <t>EXCLUSIVO PARA RELEVAMIENTO</t>
  </si>
  <si>
    <t>PLANILLA GENERAL</t>
  </si>
  <si>
    <t>EXCLUSIVO PARA DEMOLICIÓN</t>
  </si>
  <si>
    <t>APORTES EXCLUSIVO PARA SEGURIDAD E HIGIENE</t>
  </si>
  <si>
    <t>COEF.</t>
  </si>
  <si>
    <t>Rangos Representacion Técnica</t>
  </si>
  <si>
    <t>TOTAL HONORARIO FINAL POR DEMOLICIÓN</t>
  </si>
  <si>
    <t>TOTAL HONORARIO FINAL POR RELEVAMIENTO</t>
  </si>
  <si>
    <t>APORTE MÍNIMO</t>
  </si>
  <si>
    <t>CARACTERÍSTICAS DE LA OBRA</t>
  </si>
  <si>
    <r>
      <rPr>
        <b/>
        <sz val="9.5"/>
        <rFont val="Arial"/>
        <family val="2"/>
      </rPr>
      <t>Monto mínimo de honorario</t>
    </r>
    <r>
      <rPr>
        <sz val="9.5"/>
        <rFont val="Arial"/>
        <family val="2"/>
      </rPr>
      <t xml:space="preserve"> según servicio profesional es el valor </t>
    </r>
    <r>
      <rPr>
        <b/>
        <sz val="9.5"/>
        <rFont val="Arial"/>
        <family val="2"/>
      </rPr>
      <t>"K".</t>
    </r>
  </si>
  <si>
    <r>
      <rPr>
        <b/>
        <sz val="9.5"/>
        <rFont val="Arial"/>
        <family val="2"/>
      </rPr>
      <t>Monto mínimo de aporte</t>
    </r>
    <r>
      <rPr>
        <sz val="9.5"/>
        <rFont val="Arial"/>
        <family val="2"/>
      </rPr>
      <t xml:space="preserve"> al Colegio de Arquitectos es el correspondinte a la celda de aporte mínimo que se encuentra en la parte superior.</t>
    </r>
  </si>
  <si>
    <t>OBRA</t>
  </si>
  <si>
    <t>Si elige la opción "NO", no complete las celdas siguientes, pase a TOTAL HONORARIO.</t>
  </si>
  <si>
    <t>VIGENCIA DEL 1 DE DICIEMBRE 2021 al 28 de FEBRERO del 2022</t>
  </si>
  <si>
    <t>INDICE K</t>
  </si>
  <si>
    <t>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</si>
</sst>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C0A]\ #,##0.00"/>
    <numFmt numFmtId="167" formatCode="&quot;$&quot;\ #,##0.00"/>
    <numFmt numFmtId="168" formatCode="&quot;$&quot;\ #,##0.0"/>
    <numFmt numFmtId="169" formatCode="0.000"/>
    <numFmt numFmtId="170" formatCode="\$\ #,##0.00"/>
    <numFmt numFmtId="171" formatCode="0.0%"/>
    <numFmt numFmtId="172" formatCode="_-* #,##0\ _€_-;\-* #,##0\ _€_-;_-* &quot;-&quot;??\ _€_-;_-@_-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b/>
      <sz val="13"/>
      <color rgb="FFFF0000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2"/>
      <color rgb="FF0070C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b/>
      <sz val="10"/>
      <color rgb="FF00B050"/>
      <name val="Arial"/>
      <family val="2"/>
    </font>
    <font>
      <sz val="1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0" borderId="0"/>
    <xf numFmtId="44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9" fontId="37" fillId="0" borderId="0" applyFont="0" applyFill="0" applyBorder="0" applyAlignment="0" applyProtection="0"/>
  </cellStyleXfs>
  <cellXfs count="465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2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0" fontId="6" fillId="0" borderId="11" xfId="0" applyNumberFormat="1" applyFont="1" applyBorder="1" applyAlignment="1">
      <alignment horizontal="center" vertical="center" wrapText="1"/>
    </xf>
    <xf numFmtId="169" fontId="6" fillId="0" borderId="20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horizontal="center" vertical="center" wrapText="1"/>
    </xf>
    <xf numFmtId="0" fontId="11" fillId="0" borderId="0" xfId="0" applyFont="1"/>
    <xf numFmtId="169" fontId="6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70" fontId="6" fillId="0" borderId="0" xfId="0" applyNumberFormat="1" applyFont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wrapText="1"/>
    </xf>
    <xf numFmtId="169" fontId="13" fillId="0" borderId="0" xfId="0" applyNumberFormat="1" applyFont="1" applyAlignment="1">
      <alignment horizontal="center" wrapText="1"/>
    </xf>
    <xf numFmtId="170" fontId="13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/>
    <xf numFmtId="0" fontId="6" fillId="0" borderId="26" xfId="0" applyFont="1" applyBorder="1" applyAlignment="1">
      <alignment horizontal="left" vertical="center" wrapText="1"/>
    </xf>
    <xf numFmtId="169" fontId="6" fillId="0" borderId="26" xfId="0" applyNumberFormat="1" applyFont="1" applyBorder="1" applyAlignment="1">
      <alignment horizontal="center" wrapText="1"/>
    </xf>
    <xf numFmtId="170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wrapText="1"/>
    </xf>
    <xf numFmtId="170" fontId="6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/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9" fontId="6" fillId="0" borderId="26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9" fontId="11" fillId="0" borderId="38" xfId="0" applyNumberFormat="1" applyFont="1" applyBorder="1" applyAlignment="1">
      <alignment horizontal="center" wrapText="1"/>
    </xf>
    <xf numFmtId="170" fontId="13" fillId="0" borderId="29" xfId="0" applyNumberFormat="1" applyFont="1" applyBorder="1" applyAlignment="1">
      <alignment horizontal="center" vertical="center" wrapText="1"/>
    </xf>
    <xf numFmtId="0" fontId="14" fillId="7" borderId="0" xfId="0" applyFont="1" applyFill="1"/>
    <xf numFmtId="0" fontId="0" fillId="0" borderId="0" xfId="0" applyBorder="1"/>
    <xf numFmtId="0" fontId="27" fillId="3" borderId="11" xfId="0" quotePrefix="1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/>
    </xf>
    <xf numFmtId="166" fontId="9" fillId="3" borderId="31" xfId="0" applyNumberFormat="1" applyFont="1" applyFill="1" applyBorder="1" applyAlignment="1">
      <alignment horizontal="left" vertical="center"/>
    </xf>
    <xf numFmtId="10" fontId="38" fillId="13" borderId="49" xfId="4" applyNumberFormat="1" applyFont="1" applyFill="1" applyBorder="1" applyAlignment="1">
      <alignment horizontal="center"/>
    </xf>
    <xf numFmtId="0" fontId="39" fillId="13" borderId="50" xfId="0" applyFont="1" applyFill="1" applyBorder="1" applyAlignment="1">
      <alignment horizontal="center"/>
    </xf>
    <xf numFmtId="10" fontId="38" fillId="13" borderId="51" xfId="4" applyNumberFormat="1" applyFont="1" applyFill="1" applyBorder="1" applyAlignment="1">
      <alignment horizontal="center"/>
    </xf>
    <xf numFmtId="0" fontId="39" fillId="13" borderId="52" xfId="0" applyFont="1" applyFill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7" fillId="3" borderId="54" xfId="0" quotePrefix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4" borderId="38" xfId="0" applyFont="1" applyFill="1" applyBorder="1" applyAlignment="1">
      <alignment vertical="center" wrapText="1"/>
    </xf>
    <xf numFmtId="0" fontId="4" fillId="14" borderId="2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69" fontId="6" fillId="0" borderId="0" xfId="0" applyNumberFormat="1" applyFont="1" applyFill="1" applyAlignment="1">
      <alignment horizontal="center" wrapText="1"/>
    </xf>
    <xf numFmtId="16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170" fontId="11" fillId="0" borderId="0" xfId="0" applyNumberFormat="1" applyFont="1" applyFill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169" fontId="6" fillId="0" borderId="2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9" fontId="6" fillId="0" borderId="24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69" fontId="6" fillId="0" borderId="18" xfId="0" applyNumberFormat="1" applyFont="1" applyFill="1" applyBorder="1" applyAlignment="1">
      <alignment horizontal="center" wrapText="1"/>
    </xf>
    <xf numFmtId="169" fontId="6" fillId="0" borderId="23" xfId="0" applyNumberFormat="1" applyFont="1" applyFill="1" applyBorder="1" applyAlignment="1">
      <alignment horizontal="center" wrapText="1"/>
    </xf>
    <xf numFmtId="169" fontId="1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69" fontId="6" fillId="0" borderId="27" xfId="0" applyNumberFormat="1" applyFont="1" applyFill="1" applyBorder="1" applyAlignment="1">
      <alignment horizont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vertical="top" wrapText="1"/>
    </xf>
    <xf numFmtId="169" fontId="6" fillId="0" borderId="30" xfId="0" applyNumberFormat="1" applyFont="1" applyFill="1" applyBorder="1" applyAlignment="1">
      <alignment horizont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170" fontId="6" fillId="0" borderId="3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1" fillId="0" borderId="45" xfId="0" applyFont="1" applyBorder="1" applyAlignment="1">
      <alignment horizontal="justify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justify" vertical="center" wrapText="1"/>
    </xf>
    <xf numFmtId="0" fontId="41" fillId="0" borderId="5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right" vertical="center"/>
    </xf>
    <xf numFmtId="0" fontId="44" fillId="0" borderId="55" xfId="0" applyFont="1" applyBorder="1" applyAlignment="1">
      <alignment vertical="center"/>
    </xf>
    <xf numFmtId="4" fontId="44" fillId="0" borderId="55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32" fillId="10" borderId="10" xfId="8" applyFont="1" applyBorder="1" applyAlignment="1" applyProtection="1">
      <alignment horizontal="center" vertical="center" wrapText="1"/>
      <protection locked="0"/>
    </xf>
    <xf numFmtId="165" fontId="33" fillId="12" borderId="44" xfId="7" applyNumberFormat="1" applyFont="1" applyFill="1" applyBorder="1" applyAlignment="1" applyProtection="1">
      <alignment vertical="center"/>
      <protection locked="0"/>
    </xf>
    <xf numFmtId="165" fontId="33" fillId="12" borderId="45" xfId="7" applyNumberFormat="1" applyFont="1" applyFill="1" applyBorder="1" applyAlignment="1" applyProtection="1">
      <alignment vertical="center"/>
      <protection locked="0"/>
    </xf>
    <xf numFmtId="44" fontId="20" fillId="12" borderId="45" xfId="5" applyFont="1" applyFill="1" applyBorder="1" applyAlignment="1" applyProtection="1">
      <alignment horizontal="left" vertical="center"/>
      <protection locked="0"/>
    </xf>
    <xf numFmtId="0" fontId="4" fillId="14" borderId="4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4" fontId="44" fillId="0" borderId="11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45" fillId="17" borderId="11" xfId="0" applyFont="1" applyFill="1" applyBorder="1" applyAlignment="1">
      <alignment vertical="center" wrapText="1"/>
    </xf>
    <xf numFmtId="0" fontId="45" fillId="0" borderId="11" xfId="0" applyFont="1" applyBorder="1"/>
    <xf numFmtId="0" fontId="46" fillId="17" borderId="11" xfId="0" applyFont="1" applyFill="1" applyBorder="1" applyAlignment="1">
      <alignment vertical="center" wrapText="1"/>
    </xf>
    <xf numFmtId="0" fontId="0" fillId="0" borderId="0" xfId="0" applyProtection="1"/>
    <xf numFmtId="2" fontId="2" fillId="0" borderId="0" xfId="4" applyNumberFormat="1" applyFont="1" applyFill="1" applyProtection="1"/>
    <xf numFmtId="0" fontId="2" fillId="0" borderId="0" xfId="4" applyFont="1" applyFill="1" applyAlignment="1" applyProtection="1">
      <alignment horizontal="left"/>
    </xf>
    <xf numFmtId="0" fontId="2" fillId="0" borderId="0" xfId="4" applyFont="1" applyFill="1" applyProtection="1"/>
    <xf numFmtId="0" fontId="2" fillId="0" borderId="0" xfId="0" applyFont="1" applyProtection="1"/>
    <xf numFmtId="4" fontId="5" fillId="11" borderId="31" xfId="0" applyNumberFormat="1" applyFont="1" applyFill="1" applyBorder="1" applyProtection="1"/>
    <xf numFmtId="0" fontId="20" fillId="0" borderId="41" xfId="3" applyFont="1" applyFill="1" applyBorder="1" applyAlignment="1" applyProtection="1">
      <alignment horizontal="center" vertical="center" wrapText="1"/>
    </xf>
    <xf numFmtId="44" fontId="20" fillId="7" borderId="43" xfId="5" applyFont="1" applyFill="1" applyBorder="1" applyAlignment="1" applyProtection="1">
      <alignment horizontal="left" vertical="center"/>
    </xf>
    <xf numFmtId="44" fontId="21" fillId="7" borderId="44" xfId="5" applyFont="1" applyFill="1" applyBorder="1" applyAlignment="1" applyProtection="1">
      <alignment vertical="center"/>
    </xf>
    <xf numFmtId="0" fontId="20" fillId="0" borderId="32" xfId="3" applyFont="1" applyFill="1" applyBorder="1" applyAlignment="1" applyProtection="1">
      <alignment horizontal="center" vertical="center" wrapText="1"/>
    </xf>
    <xf numFmtId="44" fontId="20" fillId="7" borderId="40" xfId="5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44" fontId="21" fillId="7" borderId="45" xfId="5" applyFont="1" applyFill="1" applyBorder="1" applyAlignment="1" applyProtection="1">
      <alignment vertical="center"/>
    </xf>
    <xf numFmtId="2" fontId="8" fillId="7" borderId="0" xfId="3" applyNumberFormat="1" applyFill="1" applyBorder="1" applyAlignment="1" applyProtection="1">
      <alignment horizontal="left"/>
    </xf>
    <xf numFmtId="2" fontId="8" fillId="7" borderId="39" xfId="3" applyNumberFormat="1" applyFill="1" applyBorder="1" applyAlignment="1" applyProtection="1">
      <alignment horizontal="left"/>
    </xf>
    <xf numFmtId="0" fontId="2" fillId="7" borderId="13" xfId="4" applyFont="1" applyFill="1" applyBorder="1" applyProtection="1"/>
    <xf numFmtId="168" fontId="7" fillId="7" borderId="13" xfId="0" applyNumberFormat="1" applyFont="1" applyFill="1" applyBorder="1" applyProtection="1"/>
    <xf numFmtId="0" fontId="2" fillId="7" borderId="5" xfId="4" applyFont="1" applyFill="1" applyBorder="1" applyProtection="1"/>
    <xf numFmtId="168" fontId="2" fillId="7" borderId="5" xfId="0" applyNumberFormat="1" applyFont="1" applyFill="1" applyBorder="1" applyProtection="1"/>
    <xf numFmtId="10" fontId="38" fillId="7" borderId="5" xfId="4" applyNumberFormat="1" applyFont="1" applyFill="1" applyBorder="1" applyAlignment="1" applyProtection="1">
      <alignment horizontal="center"/>
    </xf>
    <xf numFmtId="166" fontId="3" fillId="7" borderId="7" xfId="2" applyNumberFormat="1" applyFont="1" applyFill="1" applyBorder="1" applyAlignment="1" applyProtection="1"/>
    <xf numFmtId="0" fontId="0" fillId="7" borderId="5" xfId="0" applyFill="1" applyBorder="1" applyProtection="1"/>
    <xf numFmtId="0" fontId="22" fillId="0" borderId="35" xfId="0" applyFont="1" applyFill="1" applyBorder="1" applyAlignment="1" applyProtection="1">
      <alignment horizontal="center"/>
    </xf>
    <xf numFmtId="0" fontId="2" fillId="7" borderId="14" xfId="4" applyFont="1" applyFill="1" applyBorder="1" applyProtection="1"/>
    <xf numFmtId="168" fontId="7" fillId="7" borderId="14" xfId="0" applyNumberFormat="1" applyFont="1" applyFill="1" applyBorder="1" applyProtection="1"/>
    <xf numFmtId="0" fontId="2" fillId="7" borderId="1" xfId="4" applyFont="1" applyFill="1" applyBorder="1" applyAlignment="1" applyProtection="1">
      <alignment horizontal="center"/>
    </xf>
    <xf numFmtId="168" fontId="2" fillId="7" borderId="1" xfId="0" applyNumberFormat="1" applyFont="1" applyFill="1" applyBorder="1" applyProtection="1"/>
    <xf numFmtId="10" fontId="38" fillId="7" borderId="1" xfId="4" applyNumberFormat="1" applyFont="1" applyFill="1" applyBorder="1" applyAlignment="1" applyProtection="1">
      <alignment horizontal="center"/>
    </xf>
    <xf numFmtId="166" fontId="3" fillId="7" borderId="2" xfId="2" applyNumberFormat="1" applyFont="1" applyFill="1" applyBorder="1" applyAlignment="1" applyProtection="1"/>
    <xf numFmtId="0" fontId="0" fillId="7" borderId="1" xfId="0" applyFill="1" applyBorder="1" applyProtection="1"/>
    <xf numFmtId="0" fontId="2" fillId="7" borderId="1" xfId="4" applyFont="1" applyFill="1" applyBorder="1" applyProtection="1"/>
    <xf numFmtId="0" fontId="2" fillId="7" borderId="15" xfId="4" applyFont="1" applyFill="1" applyBorder="1" applyProtection="1"/>
    <xf numFmtId="1" fontId="2" fillId="7" borderId="6" xfId="4" applyNumberFormat="1" applyFont="1" applyFill="1" applyBorder="1" applyProtection="1"/>
    <xf numFmtId="0" fontId="2" fillId="7" borderId="6" xfId="4" applyFont="1" applyFill="1" applyBorder="1" applyProtection="1"/>
    <xf numFmtId="10" fontId="22" fillId="7" borderId="6" xfId="0" applyNumberFormat="1" applyFont="1" applyFill="1" applyBorder="1" applyAlignment="1" applyProtection="1">
      <alignment horizontal="right"/>
    </xf>
    <xf numFmtId="166" fontId="3" fillId="7" borderId="8" xfId="2" applyNumberFormat="1" applyFont="1" applyFill="1" applyBorder="1" applyAlignment="1" applyProtection="1"/>
    <xf numFmtId="0" fontId="2" fillId="7" borderId="6" xfId="4" applyFont="1" applyFill="1" applyBorder="1" applyAlignment="1" applyProtection="1">
      <alignment horizontal="left"/>
    </xf>
    <xf numFmtId="0" fontId="2" fillId="7" borderId="0" xfId="4" applyFont="1" applyFill="1" applyBorder="1" applyProtection="1"/>
    <xf numFmtId="1" fontId="2" fillId="7" borderId="0" xfId="4" applyNumberFormat="1" applyFont="1" applyFill="1" applyBorder="1" applyProtection="1"/>
    <xf numFmtId="10" fontId="22" fillId="7" borderId="0" xfId="0" applyNumberFormat="1" applyFont="1" applyFill="1" applyBorder="1" applyAlignment="1" applyProtection="1">
      <alignment horizontal="right"/>
    </xf>
    <xf numFmtId="166" fontId="3" fillId="7" borderId="0" xfId="2" applyNumberFormat="1" applyFont="1" applyFill="1" applyBorder="1" applyAlignment="1" applyProtection="1"/>
    <xf numFmtId="0" fontId="2" fillId="7" borderId="0" xfId="4" applyFont="1" applyFill="1" applyBorder="1" applyAlignment="1" applyProtection="1">
      <alignment horizontal="left"/>
    </xf>
    <xf numFmtId="171" fontId="17" fillId="0" borderId="0" xfId="9" applyNumberFormat="1" applyFont="1" applyFill="1" applyBorder="1" applyAlignment="1" applyProtection="1">
      <alignment horizontal="center"/>
    </xf>
    <xf numFmtId="171" fontId="17" fillId="0" borderId="0" xfId="9" applyNumberFormat="1" applyFont="1" applyFill="1" applyBorder="1" applyAlignment="1" applyProtection="1">
      <alignment horizontal="left"/>
    </xf>
    <xf numFmtId="9" fontId="23" fillId="3" borderId="25" xfId="6" applyNumberFormat="1" applyFont="1" applyFill="1" applyBorder="1" applyAlignment="1" applyProtection="1">
      <alignment horizontal="center"/>
    </xf>
    <xf numFmtId="166" fontId="40" fillId="7" borderId="45" xfId="2" applyNumberFormat="1" applyFont="1" applyFill="1" applyBorder="1" applyAlignment="1" applyProtection="1">
      <alignment horizontal="right"/>
    </xf>
    <xf numFmtId="0" fontId="45" fillId="17" borderId="11" xfId="0" applyFont="1" applyFill="1" applyBorder="1" applyAlignment="1" applyProtection="1">
      <alignment vertical="center" wrapText="1"/>
    </xf>
    <xf numFmtId="0" fontId="45" fillId="0" borderId="11" xfId="0" applyFont="1" applyBorder="1" applyProtection="1"/>
    <xf numFmtId="0" fontId="2" fillId="8" borderId="0" xfId="0" applyFont="1" applyFill="1" applyProtection="1"/>
    <xf numFmtId="0" fontId="0" fillId="8" borderId="0" xfId="0" applyFill="1" applyProtection="1"/>
    <xf numFmtId="0" fontId="3" fillId="8" borderId="0" xfId="0" applyFont="1" applyFill="1" applyProtection="1"/>
    <xf numFmtId="10" fontId="0" fillId="8" borderId="0" xfId="0" applyNumberFormat="1" applyFill="1" applyProtection="1"/>
    <xf numFmtId="166" fontId="5" fillId="8" borderId="0" xfId="0" applyNumberFormat="1" applyFont="1" applyFill="1" applyProtection="1"/>
    <xf numFmtId="10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165" fontId="33" fillId="12" borderId="0" xfId="7" applyNumberFormat="1" applyFont="1" applyFill="1" applyBorder="1" applyAlignment="1" applyProtection="1">
      <alignment horizontal="left"/>
    </xf>
    <xf numFmtId="165" fontId="43" fillId="16" borderId="0" xfId="7" applyNumberFormat="1" applyFont="1" applyFill="1" applyBorder="1" applyAlignment="1" applyProtection="1">
      <alignment horizontal="left"/>
    </xf>
    <xf numFmtId="165" fontId="33" fillId="16" borderId="0" xfId="7" applyNumberFormat="1" applyFont="1" applyFill="1" applyBorder="1" applyAlignment="1" applyProtection="1">
      <alignment horizontal="left"/>
    </xf>
    <xf numFmtId="0" fontId="34" fillId="0" borderId="0" xfId="0" applyFont="1" applyProtection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4" fontId="36" fillId="0" borderId="0" xfId="0" applyNumberFormat="1" applyFont="1" applyFill="1" applyBorder="1" applyProtection="1"/>
    <xf numFmtId="0" fontId="35" fillId="0" borderId="0" xfId="0" applyFont="1" applyBorder="1" applyProtection="1"/>
    <xf numFmtId="0" fontId="35" fillId="0" borderId="0" xfId="0" applyFont="1" applyProtection="1"/>
    <xf numFmtId="0" fontId="36" fillId="0" borderId="0" xfId="0" applyFont="1" applyAlignment="1" applyProtection="1">
      <alignment horizontal="left" vertical="center"/>
    </xf>
    <xf numFmtId="0" fontId="35" fillId="0" borderId="0" xfId="0" applyFont="1" applyFill="1" applyProtection="1"/>
    <xf numFmtId="0" fontId="0" fillId="0" borderId="0" xfId="0" applyFill="1" applyProtection="1"/>
    <xf numFmtId="10" fontId="6" fillId="0" borderId="0" xfId="0" applyNumberFormat="1" applyFont="1" applyFill="1" applyAlignment="1">
      <alignment horizontal="center" wrapText="1"/>
    </xf>
    <xf numFmtId="0" fontId="25" fillId="3" borderId="44" xfId="0" applyFont="1" applyFill="1" applyBorder="1" applyAlignment="1" applyProtection="1">
      <alignment horizontal="center" vertical="center"/>
    </xf>
    <xf numFmtId="0" fontId="48" fillId="15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 vertical="center" wrapText="1"/>
    </xf>
    <xf numFmtId="0" fontId="31" fillId="2" borderId="11" xfId="3" applyFont="1" applyBorder="1" applyAlignment="1" applyProtection="1">
      <alignment vertical="center" wrapText="1"/>
      <protection locked="0"/>
    </xf>
    <xf numFmtId="0" fontId="25" fillId="3" borderId="43" xfId="0" applyFont="1" applyFill="1" applyBorder="1" applyAlignment="1" applyProtection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/>
    </xf>
    <xf numFmtId="0" fontId="0" fillId="0" borderId="72" xfId="0" applyBorder="1"/>
    <xf numFmtId="0" fontId="2" fillId="0" borderId="73" xfId="0" applyFont="1" applyBorder="1" applyAlignment="1">
      <alignment vertical="center"/>
    </xf>
    <xf numFmtId="0" fontId="0" fillId="0" borderId="73" xfId="0" applyBorder="1"/>
    <xf numFmtId="44" fontId="0" fillId="0" borderId="52" xfId="0" applyNumberFormat="1" applyBorder="1"/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0" fillId="0" borderId="74" xfId="0" applyNumberFormat="1" applyBorder="1"/>
    <xf numFmtId="0" fontId="32" fillId="10" borderId="33" xfId="8" applyFont="1" applyBorder="1" applyAlignment="1" applyProtection="1">
      <alignment horizontal="center" vertical="center" wrapText="1"/>
      <protection locked="0"/>
    </xf>
    <xf numFmtId="0" fontId="25" fillId="3" borderId="45" xfId="0" applyFont="1" applyFill="1" applyBorder="1" applyAlignment="1" applyProtection="1">
      <alignment horizontal="center"/>
    </xf>
    <xf numFmtId="0" fontId="25" fillId="3" borderId="33" xfId="0" applyFont="1" applyFill="1" applyBorder="1" applyAlignment="1" applyProtection="1">
      <alignment horizontal="center" wrapText="1"/>
    </xf>
    <xf numFmtId="0" fontId="25" fillId="3" borderId="40" xfId="0" applyFont="1" applyFill="1" applyBorder="1" applyAlignment="1" applyProtection="1">
      <alignment horizontal="center" wrapText="1"/>
    </xf>
    <xf numFmtId="0" fontId="25" fillId="3" borderId="3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wrapText="1"/>
    </xf>
    <xf numFmtId="0" fontId="20" fillId="0" borderId="45" xfId="3" applyFont="1" applyFill="1" applyBorder="1" applyAlignment="1" applyProtection="1">
      <alignment horizontal="center" vertical="center" wrapText="1"/>
    </xf>
    <xf numFmtId="2" fontId="21" fillId="7" borderId="33" xfId="3" applyNumberFormat="1" applyFont="1" applyFill="1" applyBorder="1" applyAlignment="1" applyProtection="1">
      <alignment horizontal="center"/>
    </xf>
    <xf numFmtId="44" fontId="25" fillId="7" borderId="45" xfId="5" applyFont="1" applyFill="1" applyBorder="1" applyAlignment="1" applyProtection="1">
      <alignment horizontal="center"/>
    </xf>
    <xf numFmtId="2" fontId="25" fillId="7" borderId="45" xfId="3" applyNumberFormat="1" applyFont="1" applyFill="1" applyBorder="1" applyAlignment="1" applyProtection="1">
      <alignment horizontal="center"/>
    </xf>
    <xf numFmtId="0" fontId="2" fillId="0" borderId="63" xfId="0" applyFont="1" applyBorder="1" applyAlignment="1" applyProtection="1">
      <alignment vertical="center" wrapText="1"/>
    </xf>
    <xf numFmtId="0" fontId="0" fillId="0" borderId="0" xfId="0" applyBorder="1" applyProtection="1"/>
    <xf numFmtId="0" fontId="3" fillId="0" borderId="75" xfId="0" quotePrefix="1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/>
    </xf>
    <xf numFmtId="0" fontId="22" fillId="0" borderId="55" xfId="0" applyFont="1" applyFill="1" applyBorder="1" applyAlignment="1" applyProtection="1">
      <alignment horizontal="center"/>
    </xf>
    <xf numFmtId="0" fontId="2" fillId="0" borderId="63" xfId="0" applyFont="1" applyBorder="1" applyProtection="1"/>
    <xf numFmtId="0" fontId="18" fillId="0" borderId="0" xfId="0" applyFont="1" applyBorder="1" applyProtection="1"/>
    <xf numFmtId="0" fontId="2" fillId="7" borderId="76" xfId="0" applyFont="1" applyFill="1" applyBorder="1" applyProtection="1"/>
    <xf numFmtId="166" fontId="2" fillId="7" borderId="77" xfId="0" applyNumberFormat="1" applyFont="1" applyFill="1" applyBorder="1" applyProtection="1"/>
    <xf numFmtId="2" fontId="3" fillId="7" borderId="77" xfId="0" applyNumberFormat="1" applyFont="1" applyFill="1" applyBorder="1" applyAlignment="1" applyProtection="1">
      <alignment horizontal="right"/>
    </xf>
    <xf numFmtId="0" fontId="3" fillId="7" borderId="77" xfId="0" applyFont="1" applyFill="1" applyBorder="1" applyAlignment="1" applyProtection="1"/>
    <xf numFmtId="2" fontId="3" fillId="7" borderId="77" xfId="2" applyNumberFormat="1" applyFont="1" applyFill="1" applyBorder="1" applyAlignment="1" applyProtection="1">
      <alignment horizontal="right"/>
    </xf>
    <xf numFmtId="0" fontId="2" fillId="7" borderId="77" xfId="0" applyFont="1" applyFill="1" applyBorder="1" applyProtection="1"/>
    <xf numFmtId="0" fontId="2" fillId="7" borderId="78" xfId="0" applyFont="1" applyFill="1" applyBorder="1" applyProtection="1"/>
    <xf numFmtId="0" fontId="0" fillId="0" borderId="11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0" fontId="2" fillId="0" borderId="11" xfId="0" applyFont="1" applyFill="1" applyBorder="1" applyAlignment="1" applyProtection="1">
      <alignment horizontal="center" vertical="center"/>
    </xf>
    <xf numFmtId="44" fontId="2" fillId="0" borderId="11" xfId="5" applyFont="1" applyBorder="1" applyAlignment="1" applyProtection="1">
      <alignment vertical="center"/>
    </xf>
    <xf numFmtId="166" fontId="24" fillId="3" borderId="79" xfId="6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10" fontId="2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38" xfId="0" applyFont="1" applyFill="1" applyBorder="1" applyProtection="1"/>
    <xf numFmtId="0" fontId="0" fillId="8" borderId="38" xfId="0" applyFill="1" applyBorder="1" applyProtection="1"/>
    <xf numFmtId="10" fontId="2" fillId="8" borderId="38" xfId="0" applyNumberFormat="1" applyFont="1" applyFill="1" applyBorder="1" applyAlignment="1" applyProtection="1">
      <alignment horizontal="right"/>
    </xf>
    <xf numFmtId="166" fontId="5" fillId="8" borderId="29" xfId="0" applyNumberFormat="1" applyFont="1" applyFill="1" applyBorder="1" applyProtection="1"/>
    <xf numFmtId="171" fontId="17" fillId="0" borderId="3" xfId="9" applyNumberFormat="1" applyFont="1" applyFill="1" applyBorder="1" applyAlignment="1" applyProtection="1">
      <alignment horizontal="center"/>
    </xf>
    <xf numFmtId="171" fontId="17" fillId="0" borderId="11" xfId="9" applyNumberFormat="1" applyFont="1" applyFill="1" applyBorder="1" applyAlignment="1" applyProtection="1">
      <alignment horizontal="center" vertical="center" wrapText="1"/>
    </xf>
    <xf numFmtId="166" fontId="2" fillId="7" borderId="80" xfId="0" applyNumberFormat="1" applyFont="1" applyFill="1" applyBorder="1" applyProtection="1"/>
    <xf numFmtId="0" fontId="3" fillId="0" borderId="45" xfId="0" quotePrefix="1" applyFont="1" applyFill="1" applyBorder="1" applyAlignment="1" applyProtection="1">
      <alignment horizontal="center" vertical="center"/>
    </xf>
    <xf numFmtId="0" fontId="2" fillId="7" borderId="70" xfId="4" applyFont="1" applyFill="1" applyBorder="1" applyProtection="1"/>
    <xf numFmtId="168" fontId="7" fillId="7" borderId="70" xfId="0" applyNumberFormat="1" applyFont="1" applyFill="1" applyBorder="1" applyProtection="1"/>
    <xf numFmtId="0" fontId="2" fillId="7" borderId="82" xfId="4" applyFont="1" applyFill="1" applyBorder="1" applyProtection="1"/>
    <xf numFmtId="168" fontId="2" fillId="7" borderId="82" xfId="0" applyNumberFormat="1" applyFont="1" applyFill="1" applyBorder="1" applyProtection="1"/>
    <xf numFmtId="10" fontId="38" fillId="7" borderId="82" xfId="4" applyNumberFormat="1" applyFont="1" applyFill="1" applyBorder="1" applyAlignment="1" applyProtection="1">
      <alignment horizontal="center"/>
    </xf>
    <xf numFmtId="166" fontId="3" fillId="7" borderId="83" xfId="2" applyNumberFormat="1" applyFont="1" applyFill="1" applyBorder="1" applyAlignment="1" applyProtection="1"/>
    <xf numFmtId="0" fontId="0" fillId="7" borderId="82" xfId="0" applyFill="1" applyBorder="1" applyProtection="1"/>
    <xf numFmtId="171" fontId="17" fillId="0" borderId="81" xfId="9" applyNumberFormat="1" applyFont="1" applyFill="1" applyBorder="1" applyAlignment="1" applyProtection="1">
      <alignment horizontal="center" vertical="center"/>
    </xf>
    <xf numFmtId="166" fontId="40" fillId="7" borderId="45" xfId="2" applyNumberFormat="1" applyFont="1" applyFill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171" fontId="0" fillId="0" borderId="72" xfId="0" applyNumberFormat="1" applyBorder="1" applyAlignment="1" applyProtection="1">
      <alignment horizontal="center" vertical="center"/>
    </xf>
    <xf numFmtId="44" fontId="21" fillId="7" borderId="54" xfId="5" applyFont="1" applyFill="1" applyBorder="1" applyAlignment="1" applyProtection="1">
      <alignment vertical="center"/>
    </xf>
    <xf numFmtId="44" fontId="21" fillId="7" borderId="50" xfId="5" applyFont="1" applyFill="1" applyBorder="1" applyAlignment="1" applyProtection="1">
      <alignment vertical="center"/>
    </xf>
    <xf numFmtId="0" fontId="0" fillId="0" borderId="50" xfId="0" applyBorder="1" applyProtection="1"/>
    <xf numFmtId="0" fontId="2" fillId="0" borderId="38" xfId="0" applyFont="1" applyBorder="1" applyAlignment="1" applyProtection="1">
      <alignment horizontal="center" vertical="center" wrapText="1"/>
    </xf>
    <xf numFmtId="0" fontId="2" fillId="0" borderId="84" xfId="0" applyFont="1" applyBorder="1" applyAlignment="1" applyProtection="1">
      <alignment horizontal="center" vertical="center" wrapText="1"/>
    </xf>
    <xf numFmtId="2" fontId="21" fillId="7" borderId="0" xfId="3" applyNumberFormat="1" applyFont="1" applyFill="1" applyBorder="1" applyAlignment="1" applyProtection="1">
      <alignment horizontal="center" vertical="center"/>
    </xf>
    <xf numFmtId="2" fontId="25" fillId="7" borderId="35" xfId="3" applyNumberFormat="1" applyFont="1" applyFill="1" applyBorder="1" applyAlignment="1" applyProtection="1">
      <alignment horizontal="right" vertical="center"/>
    </xf>
    <xf numFmtId="44" fontId="25" fillId="7" borderId="35" xfId="5" applyFont="1" applyFill="1" applyBorder="1" applyAlignment="1" applyProtection="1">
      <alignment horizontal="center" vertical="center"/>
    </xf>
    <xf numFmtId="172" fontId="20" fillId="0" borderId="11" xfId="7" applyNumberFormat="1" applyFont="1" applyFill="1" applyBorder="1" applyAlignment="1" applyProtection="1">
      <alignment horizontal="center" vertical="center"/>
    </xf>
    <xf numFmtId="0" fontId="5" fillId="11" borderId="41" xfId="0" applyFont="1" applyFill="1" applyBorder="1" applyProtection="1"/>
    <xf numFmtId="0" fontId="5" fillId="11" borderId="10" xfId="0" applyFont="1" applyFill="1" applyBorder="1" applyProtection="1"/>
    <xf numFmtId="0" fontId="6" fillId="11" borderId="10" xfId="0" applyFont="1" applyFill="1" applyBorder="1" applyProtection="1"/>
    <xf numFmtId="0" fontId="6" fillId="11" borderId="9" xfId="0" applyFont="1" applyFill="1" applyBorder="1" applyProtection="1"/>
    <xf numFmtId="0" fontId="35" fillId="0" borderId="0" xfId="0" applyFont="1" applyAlignment="1" applyProtection="1">
      <alignment horizontal="left" vertical="center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 wrapText="1"/>
    </xf>
    <xf numFmtId="171" fontId="17" fillId="0" borderId="38" xfId="9" applyNumberFormat="1" applyFont="1" applyFill="1" applyBorder="1" applyAlignment="1" applyProtection="1">
      <alignment horizontal="center" vertical="center"/>
    </xf>
    <xf numFmtId="166" fontId="53" fillId="7" borderId="45" xfId="2" applyNumberFormat="1" applyFont="1" applyFill="1" applyBorder="1" applyAlignment="1" applyProtection="1">
      <alignment horizontal="right"/>
    </xf>
    <xf numFmtId="166" fontId="52" fillId="3" borderId="45" xfId="0" applyNumberFormat="1" applyFont="1" applyFill="1" applyBorder="1" applyAlignment="1" applyProtection="1">
      <alignment vertical="center"/>
    </xf>
    <xf numFmtId="9" fontId="50" fillId="3" borderId="45" xfId="0" applyNumberFormat="1" applyFont="1" applyFill="1" applyBorder="1" applyAlignment="1" applyProtection="1">
      <alignment horizontal="center" vertical="center"/>
    </xf>
    <xf numFmtId="4" fontId="5" fillId="11" borderId="9" xfId="0" applyNumberFormat="1" applyFont="1" applyFill="1" applyBorder="1" applyProtection="1"/>
    <xf numFmtId="171" fontId="17" fillId="0" borderId="38" xfId="9" applyNumberFormat="1" applyFont="1" applyFill="1" applyBorder="1" applyAlignment="1" applyProtection="1">
      <alignment horizontal="center" vertical="center" wrapText="1"/>
    </xf>
    <xf numFmtId="2" fontId="2" fillId="7" borderId="63" xfId="4" applyNumberFormat="1" applyFont="1" applyFill="1" applyBorder="1" applyProtection="1"/>
    <xf numFmtId="0" fontId="32" fillId="10" borderId="10" xfId="8" applyFont="1" applyBorder="1" applyAlignment="1" applyProtection="1">
      <alignment horizontal="center" vertical="center" wrapText="1"/>
    </xf>
    <xf numFmtId="0" fontId="32" fillId="10" borderId="33" xfId="8" applyFont="1" applyBorder="1" applyAlignment="1" applyProtection="1">
      <alignment horizontal="center" vertical="center" wrapText="1"/>
    </xf>
    <xf numFmtId="0" fontId="2" fillId="0" borderId="49" xfId="0" applyFont="1" applyBorder="1" applyProtection="1"/>
    <xf numFmtId="0" fontId="0" fillId="0" borderId="50" xfId="0" applyBorder="1" applyAlignment="1" applyProtection="1">
      <alignment horizontal="center" vertical="center"/>
    </xf>
    <xf numFmtId="0" fontId="2" fillId="0" borderId="4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/>
    </xf>
    <xf numFmtId="2" fontId="24" fillId="3" borderId="32" xfId="6" applyNumberFormat="1" applyFont="1" applyFill="1" applyBorder="1" applyProtection="1"/>
    <xf numFmtId="0" fontId="1" fillId="3" borderId="33" xfId="6" applyFill="1" applyBorder="1" applyProtection="1"/>
    <xf numFmtId="9" fontId="23" fillId="3" borderId="32" xfId="6" applyNumberFormat="1" applyFont="1" applyFill="1" applyBorder="1" applyAlignment="1" applyProtection="1">
      <alignment horizontal="center"/>
    </xf>
    <xf numFmtId="166" fontId="2" fillId="0" borderId="0" xfId="0" applyNumberFormat="1" applyFont="1" applyBorder="1" applyProtection="1"/>
    <xf numFmtId="2" fontId="24" fillId="3" borderId="33" xfId="6" applyNumberFormat="1" applyFont="1" applyFill="1" applyBorder="1" applyProtection="1"/>
    <xf numFmtId="0" fontId="1" fillId="3" borderId="34" xfId="6" applyFill="1" applyBorder="1" applyProtection="1"/>
    <xf numFmtId="0" fontId="2" fillId="12" borderId="11" xfId="0" applyFont="1" applyFill="1" applyBorder="1" applyProtection="1">
      <protection locked="0"/>
    </xf>
    <xf numFmtId="0" fontId="0" fillId="12" borderId="11" xfId="0" applyFill="1" applyBorder="1" applyProtection="1">
      <protection locked="0"/>
    </xf>
    <xf numFmtId="0" fontId="35" fillId="0" borderId="0" xfId="0" applyFont="1" applyAlignment="1" applyProtection="1">
      <alignment horizontal="left" vertical="center"/>
    </xf>
    <xf numFmtId="166" fontId="39" fillId="7" borderId="0" xfId="2" applyNumberFormat="1" applyFont="1" applyFill="1" applyBorder="1" applyAlignment="1" applyProtection="1">
      <alignment horizontal="right"/>
    </xf>
    <xf numFmtId="9" fontId="23" fillId="3" borderId="45" xfId="6" applyNumberFormat="1" applyFont="1" applyFill="1" applyBorder="1" applyAlignment="1" applyProtection="1">
      <alignment horizontal="center"/>
    </xf>
    <xf numFmtId="166" fontId="6" fillId="8" borderId="11" xfId="0" applyNumberFormat="1" applyFont="1" applyFill="1" applyBorder="1" applyProtection="1"/>
    <xf numFmtId="171" fontId="17" fillId="0" borderId="38" xfId="9" applyNumberFormat="1" applyFont="1" applyFill="1" applyBorder="1" applyAlignment="1" applyProtection="1">
      <alignment horizontal="center"/>
    </xf>
    <xf numFmtId="166" fontId="6" fillId="8" borderId="29" xfId="0" applyNumberFormat="1" applyFont="1" applyFill="1" applyBorder="1" applyProtection="1"/>
    <xf numFmtId="2" fontId="25" fillId="7" borderId="42" xfId="3" applyNumberFormat="1" applyFont="1" applyFill="1" applyBorder="1" applyAlignment="1" applyProtection="1">
      <alignment horizontal="right" vertical="center"/>
    </xf>
    <xf numFmtId="44" fontId="25" fillId="7" borderId="55" xfId="5" applyFont="1" applyFill="1" applyBorder="1" applyAlignment="1" applyProtection="1">
      <alignment horizontal="center" vertical="center"/>
    </xf>
    <xf numFmtId="172" fontId="20" fillId="0" borderId="44" xfId="7" applyNumberFormat="1" applyFont="1" applyFill="1" applyBorder="1" applyAlignment="1" applyProtection="1">
      <alignment horizontal="center" vertical="center"/>
    </xf>
    <xf numFmtId="2" fontId="21" fillId="7" borderId="11" xfId="3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/>
    </xf>
    <xf numFmtId="0" fontId="6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15" borderId="41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58" xfId="0" applyFont="1" applyFill="1" applyBorder="1" applyAlignment="1">
      <alignment vertical="center" wrapText="1"/>
    </xf>
    <xf numFmtId="0" fontId="2" fillId="15" borderId="59" xfId="0" applyFont="1" applyFill="1" applyBorder="1" applyAlignment="1">
      <alignment vertical="center" wrapText="1"/>
    </xf>
    <xf numFmtId="0" fontId="2" fillId="15" borderId="60" xfId="0" applyFont="1" applyFill="1" applyBorder="1" applyAlignment="1">
      <alignment vertical="center" wrapText="1"/>
    </xf>
    <xf numFmtId="0" fontId="2" fillId="15" borderId="61" xfId="0" applyFont="1" applyFill="1" applyBorder="1" applyAlignment="1">
      <alignment vertical="center" wrapText="1"/>
    </xf>
    <xf numFmtId="0" fontId="48" fillId="15" borderId="66" xfId="0" applyFont="1" applyFill="1" applyBorder="1" applyAlignment="1">
      <alignment horizontal="center" vertical="center" wrapText="1"/>
    </xf>
    <xf numFmtId="0" fontId="48" fillId="15" borderId="33" xfId="0" applyFont="1" applyFill="1" applyBorder="1" applyAlignment="1">
      <alignment horizontal="center" vertical="center" wrapText="1"/>
    </xf>
    <xf numFmtId="0" fontId="48" fillId="15" borderId="6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6" fillId="16" borderId="0" xfId="0" applyFont="1" applyFill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42" fillId="15" borderId="0" xfId="0" applyFont="1" applyFill="1" applyBorder="1" applyAlignment="1">
      <alignment horizontal="center" vertical="center" wrapText="1"/>
    </xf>
    <xf numFmtId="0" fontId="42" fillId="15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1" fontId="17" fillId="0" borderId="11" xfId="9" applyNumberFormat="1" applyFont="1" applyFill="1" applyBorder="1" applyAlignment="1" applyProtection="1">
      <alignment horizontal="center" wrapText="1"/>
    </xf>
    <xf numFmtId="171" fontId="17" fillId="0" borderId="11" xfId="9" applyNumberFormat="1" applyFont="1" applyFill="1" applyBorder="1" applyAlignment="1" applyProtection="1">
      <alignment horizontal="center" vertical="center" wrapText="1"/>
    </xf>
    <xf numFmtId="0" fontId="31" fillId="2" borderId="48" xfId="3" applyFont="1" applyBorder="1" applyAlignment="1" applyProtection="1">
      <alignment horizontal="left" vertical="center" wrapText="1"/>
      <protection locked="0"/>
    </xf>
    <xf numFmtId="0" fontId="31" fillId="2" borderId="46" xfId="3" applyFont="1" applyBorder="1" applyAlignment="1" applyProtection="1">
      <alignment horizontal="left" vertical="center" wrapText="1"/>
      <protection locked="0"/>
    </xf>
    <xf numFmtId="0" fontId="31" fillId="2" borderId="47" xfId="3" applyFont="1" applyBorder="1" applyAlignment="1" applyProtection="1">
      <alignment horizontal="left" vertical="center" wrapText="1"/>
      <protection locked="0"/>
    </xf>
    <xf numFmtId="2" fontId="24" fillId="16" borderId="42" xfId="6" applyNumberFormat="1" applyFont="1" applyFill="1" applyBorder="1" applyAlignment="1" applyProtection="1">
      <alignment horizontal="left"/>
      <protection locked="0"/>
    </xf>
    <xf numFmtId="2" fontId="24" fillId="16" borderId="34" xfId="6" applyNumberFormat="1" applyFont="1" applyFill="1" applyBorder="1" applyAlignment="1" applyProtection="1">
      <alignment horizontal="left"/>
      <protection locked="0"/>
    </xf>
    <xf numFmtId="2" fontId="24" fillId="16" borderId="56" xfId="6" applyNumberFormat="1" applyFont="1" applyFill="1" applyBorder="1" applyAlignment="1" applyProtection="1">
      <alignment horizontal="left"/>
      <protection locked="0"/>
    </xf>
    <xf numFmtId="0" fontId="3" fillId="7" borderId="32" xfId="4" applyFont="1" applyFill="1" applyBorder="1" applyAlignment="1" applyProtection="1">
      <alignment horizontal="center" vertical="center"/>
    </xf>
    <xf numFmtId="0" fontId="3" fillId="7" borderId="33" xfId="4" applyFont="1" applyFill="1" applyBorder="1" applyAlignment="1" applyProtection="1">
      <alignment horizontal="center" vertical="center"/>
    </xf>
    <xf numFmtId="0" fontId="3" fillId="7" borderId="31" xfId="4" applyFont="1" applyFill="1" applyBorder="1" applyAlignment="1" applyProtection="1">
      <alignment horizontal="center" vertical="center"/>
    </xf>
    <xf numFmtId="0" fontId="31" fillId="2" borderId="32" xfId="3" applyFont="1" applyBorder="1" applyAlignment="1" applyProtection="1">
      <alignment horizontal="left" vertical="center" wrapText="1"/>
      <protection locked="0"/>
    </xf>
    <xf numFmtId="0" fontId="31" fillId="2" borderId="33" xfId="3" applyFont="1" applyBorder="1" applyAlignment="1" applyProtection="1">
      <alignment horizontal="left" vertical="center" wrapText="1"/>
      <protection locked="0"/>
    </xf>
    <xf numFmtId="0" fontId="31" fillId="2" borderId="31" xfId="3" applyFont="1" applyBorder="1" applyAlignment="1" applyProtection="1">
      <alignment horizontal="left" vertical="center" wrapText="1"/>
      <protection locked="0"/>
    </xf>
    <xf numFmtId="0" fontId="6" fillId="11" borderId="32" xfId="0" applyFont="1" applyFill="1" applyBorder="1" applyAlignment="1" applyProtection="1">
      <alignment horizontal="center"/>
    </xf>
    <xf numFmtId="0" fontId="6" fillId="11" borderId="31" xfId="0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85" xfId="0" applyFont="1" applyBorder="1" applyAlignment="1" applyProtection="1">
      <alignment horizontal="left" vertical="center"/>
    </xf>
    <xf numFmtId="0" fontId="2" fillId="0" borderId="86" xfId="0" applyFont="1" applyBorder="1" applyAlignment="1" applyProtection="1">
      <alignment horizontal="left" vertical="center"/>
    </xf>
    <xf numFmtId="0" fontId="2" fillId="0" borderId="87" xfId="0" applyFont="1" applyBorder="1" applyAlignment="1" applyProtection="1">
      <alignment horizontal="left" vertical="center"/>
    </xf>
    <xf numFmtId="166" fontId="3" fillId="7" borderId="32" xfId="2" applyNumberFormat="1" applyFont="1" applyFill="1" applyBorder="1" applyAlignment="1" applyProtection="1">
      <alignment horizontal="center" vertical="center"/>
    </xf>
    <xf numFmtId="166" fontId="3" fillId="7" borderId="31" xfId="2" applyNumberFormat="1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51" fillId="3" borderId="32" xfId="0" applyFont="1" applyFill="1" applyBorder="1" applyAlignment="1" applyProtection="1">
      <alignment horizontal="center" vertical="center"/>
    </xf>
    <xf numFmtId="0" fontId="51" fillId="3" borderId="33" xfId="0" applyFont="1" applyFill="1" applyBorder="1" applyAlignment="1" applyProtection="1">
      <alignment horizontal="center" vertical="center"/>
    </xf>
    <xf numFmtId="0" fontId="51" fillId="3" borderId="31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  <xf numFmtId="0" fontId="25" fillId="3" borderId="32" xfId="4" applyFont="1" applyFill="1" applyBorder="1" applyAlignment="1" applyProtection="1">
      <alignment horizontal="center" vertical="center"/>
    </xf>
    <xf numFmtId="0" fontId="25" fillId="3" borderId="33" xfId="4" applyFont="1" applyFill="1" applyBorder="1" applyAlignment="1" applyProtection="1">
      <alignment horizontal="center" vertical="center"/>
    </xf>
    <xf numFmtId="0" fontId="25" fillId="3" borderId="31" xfId="4" applyFont="1" applyFill="1" applyBorder="1" applyAlignment="1" applyProtection="1">
      <alignment horizontal="center" vertical="center"/>
    </xf>
    <xf numFmtId="0" fontId="31" fillId="2" borderId="32" xfId="3" applyFont="1" applyBorder="1" applyAlignment="1" applyProtection="1">
      <alignment horizontal="center" vertical="center" wrapText="1"/>
    </xf>
    <xf numFmtId="0" fontId="31" fillId="2" borderId="33" xfId="3" applyFont="1" applyBorder="1" applyAlignment="1" applyProtection="1">
      <alignment horizontal="center" vertical="center" wrapText="1"/>
    </xf>
    <xf numFmtId="0" fontId="31" fillId="2" borderId="31" xfId="3" applyFont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25" fillId="3" borderId="4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2" fontId="47" fillId="3" borderId="32" xfId="6" applyNumberFormat="1" applyFont="1" applyFill="1" applyBorder="1" applyAlignment="1" applyProtection="1">
      <alignment horizontal="center"/>
    </xf>
    <xf numFmtId="2" fontId="47" fillId="3" borderId="33" xfId="6" applyNumberFormat="1" applyFont="1" applyFill="1" applyBorder="1" applyAlignment="1" applyProtection="1">
      <alignment horizontal="center"/>
    </xf>
    <xf numFmtId="0" fontId="25" fillId="3" borderId="34" xfId="4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center"/>
    </xf>
    <xf numFmtId="2" fontId="24" fillId="3" borderId="32" xfId="6" applyNumberFormat="1" applyFont="1" applyFill="1" applyBorder="1" applyAlignment="1" applyProtection="1">
      <alignment horizontal="left" vertical="top"/>
    </xf>
    <xf numFmtId="2" fontId="24" fillId="3" borderId="33" xfId="6" applyNumberFormat="1" applyFont="1" applyFill="1" applyBorder="1" applyAlignment="1" applyProtection="1">
      <alignment horizontal="left" vertical="top"/>
    </xf>
    <xf numFmtId="2" fontId="24" fillId="3" borderId="31" xfId="6" applyNumberFormat="1" applyFont="1" applyFill="1" applyBorder="1" applyAlignment="1" applyProtection="1">
      <alignment horizontal="left" vertical="top"/>
    </xf>
    <xf numFmtId="0" fontId="21" fillId="0" borderId="3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2" fontId="47" fillId="3" borderId="31" xfId="6" applyNumberFormat="1" applyFont="1" applyFill="1" applyBorder="1" applyAlignment="1" applyProtection="1">
      <alignment horizontal="center"/>
    </xf>
    <xf numFmtId="0" fontId="31" fillId="2" borderId="0" xfId="3" applyFont="1" applyBorder="1" applyAlignment="1" applyProtection="1">
      <alignment horizontal="left" vertical="center" wrapText="1"/>
    </xf>
    <xf numFmtId="0" fontId="32" fillId="10" borderId="0" xfId="8" applyFont="1" applyBorder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0" fontId="3" fillId="8" borderId="57" xfId="0" applyFont="1" applyFill="1" applyBorder="1" applyAlignment="1" applyProtection="1">
      <alignment horizontal="left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5" fillId="3" borderId="41" xfId="0" applyFont="1" applyFill="1" applyBorder="1" applyAlignment="1" applyProtection="1">
      <alignment horizontal="center" vertical="center" wrapText="1"/>
    </xf>
    <xf numFmtId="0" fontId="25" fillId="3" borderId="10" xfId="0" applyFont="1" applyFill="1" applyBorder="1" applyAlignment="1" applyProtection="1">
      <alignment horizontal="center" vertical="center" wrapText="1"/>
    </xf>
    <xf numFmtId="0" fontId="31" fillId="2" borderId="32" xfId="3" applyFont="1" applyBorder="1" applyAlignment="1" applyProtection="1">
      <alignment horizontal="center" vertical="center" wrapText="1"/>
      <protection locked="0"/>
    </xf>
    <xf numFmtId="0" fontId="31" fillId="2" borderId="33" xfId="3" applyFont="1" applyBorder="1" applyAlignment="1" applyProtection="1">
      <alignment horizontal="center" vertical="center" wrapText="1"/>
      <protection locked="0"/>
    </xf>
    <xf numFmtId="0" fontId="31" fillId="2" borderId="31" xfId="3" applyFont="1" applyBorder="1" applyAlignment="1" applyProtection="1">
      <alignment horizontal="center" vertical="center" wrapText="1"/>
      <protection locked="0"/>
    </xf>
    <xf numFmtId="0" fontId="5" fillId="4" borderId="89" xfId="0" applyFont="1" applyFill="1" applyBorder="1" applyAlignment="1">
      <alignment horizontal="left" vertical="center" wrapText="1"/>
    </xf>
    <xf numFmtId="0" fontId="5" fillId="4" borderId="88" xfId="0" applyFont="1" applyFill="1" applyBorder="1" applyAlignment="1">
      <alignment horizontal="left" vertical="center" wrapText="1"/>
    </xf>
  </cellXfs>
  <cellStyles count="10">
    <cellStyle name="20% - Énfasis1" xfId="6" builtinId="30"/>
    <cellStyle name="Bueno" xfId="3" builtinId="26"/>
    <cellStyle name="Euro" xfId="1" xr:uid="{00000000-0005-0000-0000-000002000000}"/>
    <cellStyle name="Incorrecto" xfId="7" builtinId="27"/>
    <cellStyle name="Millares" xfId="2" builtinId="3"/>
    <cellStyle name="Moneda" xfId="5" builtinId="4"/>
    <cellStyle name="Neutral" xfId="8" builtinId="28"/>
    <cellStyle name="Normal" xfId="0" builtinId="0"/>
    <cellStyle name="Normal_HonorariosPLANOS" xfId="4" xr:uid="{00000000-0005-0000-0000-000008000000}"/>
    <cellStyle name="Porcentaje" xfId="9" builtinId="5"/>
  </cellStyles>
  <dxfs count="3">
    <dxf>
      <fill>
        <patternFill patternType="solid">
          <fgColor indexed="64"/>
          <bgColor rgb="FFFFFF0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383189</xdr:colOff>
      <xdr:row>0</xdr:row>
      <xdr:rowOff>0</xdr:rowOff>
    </xdr:from>
    <xdr:to>
      <xdr:col>3</xdr:col>
      <xdr:colOff>560144</xdr:colOff>
      <xdr:row>0</xdr:row>
      <xdr:rowOff>579503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126A4-EBB4-4133-A687-DDA8A2330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930603" y="0"/>
          <a:ext cx="6318938" cy="57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489057</xdr:colOff>
      <xdr:row>0</xdr:row>
      <xdr:rowOff>54430</xdr:rowOff>
    </xdr:from>
    <xdr:to>
      <xdr:col>7</xdr:col>
      <xdr:colOff>812848</xdr:colOff>
      <xdr:row>3</xdr:row>
      <xdr:rowOff>163286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A71B26-2ED8-469E-83F2-ECFE89AC6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1373521" y="54430"/>
          <a:ext cx="6338148" cy="598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POINTERV" displayName="TIPOINTERV" ref="F14:G18" totalsRowShown="0" headerRowBorderDxfId="2" tableBorderDxfId="1">
  <autoFilter ref="F14:G18" xr:uid="{00000000-0009-0000-0100-000001000000}"/>
  <tableColumns count="2">
    <tableColumn id="1" xr3:uid="{00000000-0010-0000-0000-000001000000}" name="CLASE DE OBRA"/>
    <tableColumn id="2" xr3:uid="{00000000-0010-0000-0000-000002000000}" name="COEF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225"/>
  <sheetViews>
    <sheetView topLeftCell="A58" zoomScale="87" zoomScaleNormal="87" workbookViewId="0">
      <selection activeCell="D167" sqref="D167"/>
    </sheetView>
  </sheetViews>
  <sheetFormatPr baseColWidth="10" defaultRowHeight="12.75" x14ac:dyDescent="0.2"/>
  <cols>
    <col min="1" max="1" width="8.28515625" customWidth="1"/>
    <col min="2" max="2" width="57.140625" style="45" customWidth="1"/>
    <col min="3" max="3" width="35" style="2" customWidth="1"/>
    <col min="4" max="4" width="16.140625" style="3" customWidth="1"/>
    <col min="5" max="5" width="7.85546875" customWidth="1"/>
    <col min="6" max="6" width="19.28515625" customWidth="1"/>
    <col min="7" max="7" width="14.42578125" customWidth="1"/>
    <col min="9" max="9" width="14.28515625" bestFit="1" customWidth="1"/>
    <col min="10" max="10" width="16.28515625" customWidth="1"/>
    <col min="175" max="175" width="14.42578125" customWidth="1"/>
    <col min="179" max="179" width="16.85546875" customWidth="1"/>
    <col min="180" max="180" width="9" customWidth="1"/>
    <col min="181" max="181" width="6.140625" customWidth="1"/>
    <col min="182" max="182" width="3.85546875" customWidth="1"/>
    <col min="183" max="183" width="11.7109375" customWidth="1"/>
    <col min="184" max="191" width="0" hidden="1" customWidth="1"/>
    <col min="192" max="192" width="10.140625" customWidth="1"/>
    <col min="193" max="193" width="15.85546875" customWidth="1"/>
    <col min="194" max="194" width="4.140625" customWidth="1"/>
    <col min="195" max="195" width="5.5703125" customWidth="1"/>
    <col min="196" max="196" width="21.7109375" customWidth="1"/>
    <col min="197" max="197" width="14.140625" customWidth="1"/>
    <col min="200" max="201" width="18.7109375" bestFit="1" customWidth="1"/>
    <col min="431" max="431" width="14.42578125" customWidth="1"/>
    <col min="435" max="435" width="16.85546875" customWidth="1"/>
    <col min="436" max="436" width="9" customWidth="1"/>
    <col min="437" max="437" width="6.140625" customWidth="1"/>
    <col min="438" max="438" width="3.85546875" customWidth="1"/>
    <col min="439" max="439" width="11.7109375" customWidth="1"/>
    <col min="440" max="447" width="0" hidden="1" customWidth="1"/>
    <col min="448" max="448" width="10.140625" customWidth="1"/>
    <col min="449" max="449" width="15.85546875" customWidth="1"/>
    <col min="450" max="450" width="4.140625" customWidth="1"/>
    <col min="451" max="451" width="5.5703125" customWidth="1"/>
    <col min="452" max="452" width="21.7109375" customWidth="1"/>
    <col min="453" max="453" width="14.140625" customWidth="1"/>
    <col min="456" max="457" width="18.7109375" bestFit="1" customWidth="1"/>
    <col min="687" max="687" width="14.42578125" customWidth="1"/>
    <col min="691" max="691" width="16.85546875" customWidth="1"/>
    <col min="692" max="692" width="9" customWidth="1"/>
    <col min="693" max="693" width="6.140625" customWidth="1"/>
    <col min="694" max="694" width="3.85546875" customWidth="1"/>
    <col min="695" max="695" width="11.7109375" customWidth="1"/>
    <col min="696" max="703" width="0" hidden="1" customWidth="1"/>
    <col min="704" max="704" width="10.140625" customWidth="1"/>
    <col min="705" max="705" width="15.85546875" customWidth="1"/>
    <col min="706" max="706" width="4.140625" customWidth="1"/>
    <col min="707" max="707" width="5.5703125" customWidth="1"/>
    <col min="708" max="708" width="21.7109375" customWidth="1"/>
    <col min="709" max="709" width="14.140625" customWidth="1"/>
    <col min="712" max="713" width="18.7109375" bestFit="1" customWidth="1"/>
    <col min="943" max="943" width="14.42578125" customWidth="1"/>
    <col min="947" max="947" width="16.85546875" customWidth="1"/>
    <col min="948" max="948" width="9" customWidth="1"/>
    <col min="949" max="949" width="6.140625" customWidth="1"/>
    <col min="950" max="950" width="3.85546875" customWidth="1"/>
    <col min="951" max="951" width="11.7109375" customWidth="1"/>
    <col min="952" max="959" width="0" hidden="1" customWidth="1"/>
    <col min="960" max="960" width="10.140625" customWidth="1"/>
    <col min="961" max="961" width="15.85546875" customWidth="1"/>
    <col min="962" max="962" width="4.140625" customWidth="1"/>
    <col min="963" max="963" width="5.5703125" customWidth="1"/>
    <col min="964" max="964" width="21.7109375" customWidth="1"/>
    <col min="965" max="965" width="14.140625" customWidth="1"/>
    <col min="968" max="969" width="18.7109375" bestFit="1" customWidth="1"/>
    <col min="1199" max="1199" width="14.42578125" customWidth="1"/>
    <col min="1203" max="1203" width="16.85546875" customWidth="1"/>
    <col min="1204" max="1204" width="9" customWidth="1"/>
    <col min="1205" max="1205" width="6.140625" customWidth="1"/>
    <col min="1206" max="1206" width="3.85546875" customWidth="1"/>
    <col min="1207" max="1207" width="11.7109375" customWidth="1"/>
    <col min="1208" max="1215" width="0" hidden="1" customWidth="1"/>
    <col min="1216" max="1216" width="10.140625" customWidth="1"/>
    <col min="1217" max="1217" width="15.85546875" customWidth="1"/>
    <col min="1218" max="1218" width="4.140625" customWidth="1"/>
    <col min="1219" max="1219" width="5.5703125" customWidth="1"/>
    <col min="1220" max="1220" width="21.7109375" customWidth="1"/>
    <col min="1221" max="1221" width="14.140625" customWidth="1"/>
    <col min="1224" max="1225" width="18.7109375" bestFit="1" customWidth="1"/>
    <col min="1455" max="1455" width="14.42578125" customWidth="1"/>
    <col min="1459" max="1459" width="16.85546875" customWidth="1"/>
    <col min="1460" max="1460" width="9" customWidth="1"/>
    <col min="1461" max="1461" width="6.140625" customWidth="1"/>
    <col min="1462" max="1462" width="3.85546875" customWidth="1"/>
    <col min="1463" max="1463" width="11.7109375" customWidth="1"/>
    <col min="1464" max="1471" width="0" hidden="1" customWidth="1"/>
    <col min="1472" max="1472" width="10.140625" customWidth="1"/>
    <col min="1473" max="1473" width="15.85546875" customWidth="1"/>
    <col min="1474" max="1474" width="4.140625" customWidth="1"/>
    <col min="1475" max="1475" width="5.5703125" customWidth="1"/>
    <col min="1476" max="1476" width="21.7109375" customWidth="1"/>
    <col min="1477" max="1477" width="14.140625" customWidth="1"/>
    <col min="1480" max="1481" width="18.7109375" bestFit="1" customWidth="1"/>
    <col min="1711" max="1711" width="14.42578125" customWidth="1"/>
    <col min="1715" max="1715" width="16.85546875" customWidth="1"/>
    <col min="1716" max="1716" width="9" customWidth="1"/>
    <col min="1717" max="1717" width="6.140625" customWidth="1"/>
    <col min="1718" max="1718" width="3.85546875" customWidth="1"/>
    <col min="1719" max="1719" width="11.7109375" customWidth="1"/>
    <col min="1720" max="1727" width="0" hidden="1" customWidth="1"/>
    <col min="1728" max="1728" width="10.140625" customWidth="1"/>
    <col min="1729" max="1729" width="15.85546875" customWidth="1"/>
    <col min="1730" max="1730" width="4.140625" customWidth="1"/>
    <col min="1731" max="1731" width="5.5703125" customWidth="1"/>
    <col min="1732" max="1732" width="21.7109375" customWidth="1"/>
    <col min="1733" max="1733" width="14.140625" customWidth="1"/>
    <col min="1736" max="1737" width="18.7109375" bestFit="1" customWidth="1"/>
    <col min="1967" max="1967" width="14.42578125" customWidth="1"/>
    <col min="1971" max="1971" width="16.85546875" customWidth="1"/>
    <col min="1972" max="1972" width="9" customWidth="1"/>
    <col min="1973" max="1973" width="6.140625" customWidth="1"/>
    <col min="1974" max="1974" width="3.85546875" customWidth="1"/>
    <col min="1975" max="1975" width="11.7109375" customWidth="1"/>
    <col min="1976" max="1983" width="0" hidden="1" customWidth="1"/>
    <col min="1984" max="1984" width="10.140625" customWidth="1"/>
    <col min="1985" max="1985" width="15.85546875" customWidth="1"/>
    <col min="1986" max="1986" width="4.140625" customWidth="1"/>
    <col min="1987" max="1987" width="5.5703125" customWidth="1"/>
    <col min="1988" max="1988" width="21.7109375" customWidth="1"/>
    <col min="1989" max="1989" width="14.140625" customWidth="1"/>
    <col min="1992" max="1993" width="18.7109375" bestFit="1" customWidth="1"/>
    <col min="2223" max="2223" width="14.42578125" customWidth="1"/>
    <col min="2227" max="2227" width="16.85546875" customWidth="1"/>
    <col min="2228" max="2228" width="9" customWidth="1"/>
    <col min="2229" max="2229" width="6.140625" customWidth="1"/>
    <col min="2230" max="2230" width="3.85546875" customWidth="1"/>
    <col min="2231" max="2231" width="11.7109375" customWidth="1"/>
    <col min="2232" max="2239" width="0" hidden="1" customWidth="1"/>
    <col min="2240" max="2240" width="10.140625" customWidth="1"/>
    <col min="2241" max="2241" width="15.85546875" customWidth="1"/>
    <col min="2242" max="2242" width="4.140625" customWidth="1"/>
    <col min="2243" max="2243" width="5.5703125" customWidth="1"/>
    <col min="2244" max="2244" width="21.7109375" customWidth="1"/>
    <col min="2245" max="2245" width="14.140625" customWidth="1"/>
    <col min="2248" max="2249" width="18.7109375" bestFit="1" customWidth="1"/>
    <col min="2479" max="2479" width="14.42578125" customWidth="1"/>
    <col min="2483" max="2483" width="16.85546875" customWidth="1"/>
    <col min="2484" max="2484" width="9" customWidth="1"/>
    <col min="2485" max="2485" width="6.140625" customWidth="1"/>
    <col min="2486" max="2486" width="3.85546875" customWidth="1"/>
    <col min="2487" max="2487" width="11.7109375" customWidth="1"/>
    <col min="2488" max="2495" width="0" hidden="1" customWidth="1"/>
    <col min="2496" max="2496" width="10.140625" customWidth="1"/>
    <col min="2497" max="2497" width="15.85546875" customWidth="1"/>
    <col min="2498" max="2498" width="4.140625" customWidth="1"/>
    <col min="2499" max="2499" width="5.5703125" customWidth="1"/>
    <col min="2500" max="2500" width="21.7109375" customWidth="1"/>
    <col min="2501" max="2501" width="14.140625" customWidth="1"/>
    <col min="2504" max="2505" width="18.7109375" bestFit="1" customWidth="1"/>
    <col min="2735" max="2735" width="14.42578125" customWidth="1"/>
    <col min="2739" max="2739" width="16.85546875" customWidth="1"/>
    <col min="2740" max="2740" width="9" customWidth="1"/>
    <col min="2741" max="2741" width="6.140625" customWidth="1"/>
    <col min="2742" max="2742" width="3.85546875" customWidth="1"/>
    <col min="2743" max="2743" width="11.7109375" customWidth="1"/>
    <col min="2744" max="2751" width="0" hidden="1" customWidth="1"/>
    <col min="2752" max="2752" width="10.140625" customWidth="1"/>
    <col min="2753" max="2753" width="15.85546875" customWidth="1"/>
    <col min="2754" max="2754" width="4.140625" customWidth="1"/>
    <col min="2755" max="2755" width="5.5703125" customWidth="1"/>
    <col min="2756" max="2756" width="21.7109375" customWidth="1"/>
    <col min="2757" max="2757" width="14.140625" customWidth="1"/>
    <col min="2760" max="2761" width="18.7109375" bestFit="1" customWidth="1"/>
    <col min="2991" max="2991" width="14.42578125" customWidth="1"/>
    <col min="2995" max="2995" width="16.85546875" customWidth="1"/>
    <col min="2996" max="2996" width="9" customWidth="1"/>
    <col min="2997" max="2997" width="6.140625" customWidth="1"/>
    <col min="2998" max="2998" width="3.85546875" customWidth="1"/>
    <col min="2999" max="2999" width="11.7109375" customWidth="1"/>
    <col min="3000" max="3007" width="0" hidden="1" customWidth="1"/>
    <col min="3008" max="3008" width="10.140625" customWidth="1"/>
    <col min="3009" max="3009" width="15.85546875" customWidth="1"/>
    <col min="3010" max="3010" width="4.140625" customWidth="1"/>
    <col min="3011" max="3011" width="5.5703125" customWidth="1"/>
    <col min="3012" max="3012" width="21.7109375" customWidth="1"/>
    <col min="3013" max="3013" width="14.140625" customWidth="1"/>
    <col min="3016" max="3017" width="18.7109375" bestFit="1" customWidth="1"/>
    <col min="3247" max="3247" width="14.42578125" customWidth="1"/>
    <col min="3251" max="3251" width="16.85546875" customWidth="1"/>
    <col min="3252" max="3252" width="9" customWidth="1"/>
    <col min="3253" max="3253" width="6.140625" customWidth="1"/>
    <col min="3254" max="3254" width="3.85546875" customWidth="1"/>
    <col min="3255" max="3255" width="11.7109375" customWidth="1"/>
    <col min="3256" max="3263" width="0" hidden="1" customWidth="1"/>
    <col min="3264" max="3264" width="10.140625" customWidth="1"/>
    <col min="3265" max="3265" width="15.85546875" customWidth="1"/>
    <col min="3266" max="3266" width="4.140625" customWidth="1"/>
    <col min="3267" max="3267" width="5.5703125" customWidth="1"/>
    <col min="3268" max="3268" width="21.7109375" customWidth="1"/>
    <col min="3269" max="3269" width="14.140625" customWidth="1"/>
    <col min="3272" max="3273" width="18.7109375" bestFit="1" customWidth="1"/>
    <col min="3503" max="3503" width="14.42578125" customWidth="1"/>
    <col min="3507" max="3507" width="16.85546875" customWidth="1"/>
    <col min="3508" max="3508" width="9" customWidth="1"/>
    <col min="3509" max="3509" width="6.140625" customWidth="1"/>
    <col min="3510" max="3510" width="3.85546875" customWidth="1"/>
    <col min="3511" max="3511" width="11.7109375" customWidth="1"/>
    <col min="3512" max="3519" width="0" hidden="1" customWidth="1"/>
    <col min="3520" max="3520" width="10.140625" customWidth="1"/>
    <col min="3521" max="3521" width="15.85546875" customWidth="1"/>
    <col min="3522" max="3522" width="4.140625" customWidth="1"/>
    <col min="3523" max="3523" width="5.5703125" customWidth="1"/>
    <col min="3524" max="3524" width="21.7109375" customWidth="1"/>
    <col min="3525" max="3525" width="14.140625" customWidth="1"/>
    <col min="3528" max="3529" width="18.7109375" bestFit="1" customWidth="1"/>
    <col min="3759" max="3759" width="14.42578125" customWidth="1"/>
    <col min="3763" max="3763" width="16.85546875" customWidth="1"/>
    <col min="3764" max="3764" width="9" customWidth="1"/>
    <col min="3765" max="3765" width="6.140625" customWidth="1"/>
    <col min="3766" max="3766" width="3.85546875" customWidth="1"/>
    <col min="3767" max="3767" width="11.7109375" customWidth="1"/>
    <col min="3768" max="3775" width="0" hidden="1" customWidth="1"/>
    <col min="3776" max="3776" width="10.140625" customWidth="1"/>
    <col min="3777" max="3777" width="15.85546875" customWidth="1"/>
    <col min="3778" max="3778" width="4.140625" customWidth="1"/>
    <col min="3779" max="3779" width="5.5703125" customWidth="1"/>
    <col min="3780" max="3780" width="21.7109375" customWidth="1"/>
    <col min="3781" max="3781" width="14.140625" customWidth="1"/>
    <col min="3784" max="3785" width="18.7109375" bestFit="1" customWidth="1"/>
    <col min="4015" max="4015" width="14.42578125" customWidth="1"/>
    <col min="4019" max="4019" width="16.85546875" customWidth="1"/>
    <col min="4020" max="4020" width="9" customWidth="1"/>
    <col min="4021" max="4021" width="6.140625" customWidth="1"/>
    <col min="4022" max="4022" width="3.85546875" customWidth="1"/>
    <col min="4023" max="4023" width="11.7109375" customWidth="1"/>
    <col min="4024" max="4031" width="0" hidden="1" customWidth="1"/>
    <col min="4032" max="4032" width="10.140625" customWidth="1"/>
    <col min="4033" max="4033" width="15.85546875" customWidth="1"/>
    <col min="4034" max="4034" width="4.140625" customWidth="1"/>
    <col min="4035" max="4035" width="5.5703125" customWidth="1"/>
    <col min="4036" max="4036" width="21.7109375" customWidth="1"/>
    <col min="4037" max="4037" width="14.140625" customWidth="1"/>
    <col min="4040" max="4041" width="18.7109375" bestFit="1" customWidth="1"/>
    <col min="4271" max="4271" width="14.42578125" customWidth="1"/>
    <col min="4275" max="4275" width="16.85546875" customWidth="1"/>
    <col min="4276" max="4276" width="9" customWidth="1"/>
    <col min="4277" max="4277" width="6.140625" customWidth="1"/>
    <col min="4278" max="4278" width="3.85546875" customWidth="1"/>
    <col min="4279" max="4279" width="11.7109375" customWidth="1"/>
    <col min="4280" max="4287" width="0" hidden="1" customWidth="1"/>
    <col min="4288" max="4288" width="10.140625" customWidth="1"/>
    <col min="4289" max="4289" width="15.85546875" customWidth="1"/>
    <col min="4290" max="4290" width="4.140625" customWidth="1"/>
    <col min="4291" max="4291" width="5.5703125" customWidth="1"/>
    <col min="4292" max="4292" width="21.7109375" customWidth="1"/>
    <col min="4293" max="4293" width="14.140625" customWidth="1"/>
    <col min="4296" max="4297" width="18.7109375" bestFit="1" customWidth="1"/>
    <col min="4527" max="4527" width="14.42578125" customWidth="1"/>
    <col min="4531" max="4531" width="16.85546875" customWidth="1"/>
    <col min="4532" max="4532" width="9" customWidth="1"/>
    <col min="4533" max="4533" width="6.140625" customWidth="1"/>
    <col min="4534" max="4534" width="3.85546875" customWidth="1"/>
    <col min="4535" max="4535" width="11.7109375" customWidth="1"/>
    <col min="4536" max="4543" width="0" hidden="1" customWidth="1"/>
    <col min="4544" max="4544" width="10.140625" customWidth="1"/>
    <col min="4545" max="4545" width="15.85546875" customWidth="1"/>
    <col min="4546" max="4546" width="4.140625" customWidth="1"/>
    <col min="4547" max="4547" width="5.5703125" customWidth="1"/>
    <col min="4548" max="4548" width="21.7109375" customWidth="1"/>
    <col min="4549" max="4549" width="14.140625" customWidth="1"/>
    <col min="4552" max="4553" width="18.7109375" bestFit="1" customWidth="1"/>
    <col min="4783" max="4783" width="14.42578125" customWidth="1"/>
    <col min="4787" max="4787" width="16.85546875" customWidth="1"/>
    <col min="4788" max="4788" width="9" customWidth="1"/>
    <col min="4789" max="4789" width="6.140625" customWidth="1"/>
    <col min="4790" max="4790" width="3.85546875" customWidth="1"/>
    <col min="4791" max="4791" width="11.7109375" customWidth="1"/>
    <col min="4792" max="4799" width="0" hidden="1" customWidth="1"/>
    <col min="4800" max="4800" width="10.140625" customWidth="1"/>
    <col min="4801" max="4801" width="15.85546875" customWidth="1"/>
    <col min="4802" max="4802" width="4.140625" customWidth="1"/>
    <col min="4803" max="4803" width="5.5703125" customWidth="1"/>
    <col min="4804" max="4804" width="21.7109375" customWidth="1"/>
    <col min="4805" max="4805" width="14.140625" customWidth="1"/>
    <col min="4808" max="4809" width="18.7109375" bestFit="1" customWidth="1"/>
    <col min="5039" max="5039" width="14.42578125" customWidth="1"/>
    <col min="5043" max="5043" width="16.85546875" customWidth="1"/>
    <col min="5044" max="5044" width="9" customWidth="1"/>
    <col min="5045" max="5045" width="6.140625" customWidth="1"/>
    <col min="5046" max="5046" width="3.85546875" customWidth="1"/>
    <col min="5047" max="5047" width="11.7109375" customWidth="1"/>
    <col min="5048" max="5055" width="0" hidden="1" customWidth="1"/>
    <col min="5056" max="5056" width="10.140625" customWidth="1"/>
    <col min="5057" max="5057" width="15.85546875" customWidth="1"/>
    <col min="5058" max="5058" width="4.140625" customWidth="1"/>
    <col min="5059" max="5059" width="5.5703125" customWidth="1"/>
    <col min="5060" max="5060" width="21.7109375" customWidth="1"/>
    <col min="5061" max="5061" width="14.140625" customWidth="1"/>
    <col min="5064" max="5065" width="18.7109375" bestFit="1" customWidth="1"/>
    <col min="5295" max="5295" width="14.42578125" customWidth="1"/>
    <col min="5299" max="5299" width="16.85546875" customWidth="1"/>
    <col min="5300" max="5300" width="9" customWidth="1"/>
    <col min="5301" max="5301" width="6.140625" customWidth="1"/>
    <col min="5302" max="5302" width="3.85546875" customWidth="1"/>
    <col min="5303" max="5303" width="11.7109375" customWidth="1"/>
    <col min="5304" max="5311" width="0" hidden="1" customWidth="1"/>
    <col min="5312" max="5312" width="10.140625" customWidth="1"/>
    <col min="5313" max="5313" width="15.85546875" customWidth="1"/>
    <col min="5314" max="5314" width="4.140625" customWidth="1"/>
    <col min="5315" max="5315" width="5.5703125" customWidth="1"/>
    <col min="5316" max="5316" width="21.7109375" customWidth="1"/>
    <col min="5317" max="5317" width="14.140625" customWidth="1"/>
    <col min="5320" max="5321" width="18.7109375" bestFit="1" customWidth="1"/>
    <col min="5551" max="5551" width="14.42578125" customWidth="1"/>
    <col min="5555" max="5555" width="16.85546875" customWidth="1"/>
    <col min="5556" max="5556" width="9" customWidth="1"/>
    <col min="5557" max="5557" width="6.140625" customWidth="1"/>
    <col min="5558" max="5558" width="3.85546875" customWidth="1"/>
    <col min="5559" max="5559" width="11.7109375" customWidth="1"/>
    <col min="5560" max="5567" width="0" hidden="1" customWidth="1"/>
    <col min="5568" max="5568" width="10.140625" customWidth="1"/>
    <col min="5569" max="5569" width="15.85546875" customWidth="1"/>
    <col min="5570" max="5570" width="4.140625" customWidth="1"/>
    <col min="5571" max="5571" width="5.5703125" customWidth="1"/>
    <col min="5572" max="5572" width="21.7109375" customWidth="1"/>
    <col min="5573" max="5573" width="14.140625" customWidth="1"/>
    <col min="5576" max="5577" width="18.7109375" bestFit="1" customWidth="1"/>
    <col min="5807" max="5807" width="14.42578125" customWidth="1"/>
    <col min="5811" max="5811" width="16.85546875" customWidth="1"/>
    <col min="5812" max="5812" width="9" customWidth="1"/>
    <col min="5813" max="5813" width="6.140625" customWidth="1"/>
    <col min="5814" max="5814" width="3.85546875" customWidth="1"/>
    <col min="5815" max="5815" width="11.7109375" customWidth="1"/>
    <col min="5816" max="5823" width="0" hidden="1" customWidth="1"/>
    <col min="5824" max="5824" width="10.140625" customWidth="1"/>
    <col min="5825" max="5825" width="15.85546875" customWidth="1"/>
    <col min="5826" max="5826" width="4.140625" customWidth="1"/>
    <col min="5827" max="5827" width="5.5703125" customWidth="1"/>
    <col min="5828" max="5828" width="21.7109375" customWidth="1"/>
    <col min="5829" max="5829" width="14.140625" customWidth="1"/>
    <col min="5832" max="5833" width="18.7109375" bestFit="1" customWidth="1"/>
    <col min="6063" max="6063" width="14.42578125" customWidth="1"/>
    <col min="6067" max="6067" width="16.85546875" customWidth="1"/>
    <col min="6068" max="6068" width="9" customWidth="1"/>
    <col min="6069" max="6069" width="6.140625" customWidth="1"/>
    <col min="6070" max="6070" width="3.85546875" customWidth="1"/>
    <col min="6071" max="6071" width="11.7109375" customWidth="1"/>
    <col min="6072" max="6079" width="0" hidden="1" customWidth="1"/>
    <col min="6080" max="6080" width="10.140625" customWidth="1"/>
    <col min="6081" max="6081" width="15.85546875" customWidth="1"/>
    <col min="6082" max="6082" width="4.140625" customWidth="1"/>
    <col min="6083" max="6083" width="5.5703125" customWidth="1"/>
    <col min="6084" max="6084" width="21.7109375" customWidth="1"/>
    <col min="6085" max="6085" width="14.140625" customWidth="1"/>
    <col min="6088" max="6089" width="18.7109375" bestFit="1" customWidth="1"/>
    <col min="6319" max="6319" width="14.42578125" customWidth="1"/>
    <col min="6323" max="6323" width="16.85546875" customWidth="1"/>
    <col min="6324" max="6324" width="9" customWidth="1"/>
    <col min="6325" max="6325" width="6.140625" customWidth="1"/>
    <col min="6326" max="6326" width="3.85546875" customWidth="1"/>
    <col min="6327" max="6327" width="11.7109375" customWidth="1"/>
    <col min="6328" max="6335" width="0" hidden="1" customWidth="1"/>
    <col min="6336" max="6336" width="10.140625" customWidth="1"/>
    <col min="6337" max="6337" width="15.85546875" customWidth="1"/>
    <col min="6338" max="6338" width="4.140625" customWidth="1"/>
    <col min="6339" max="6339" width="5.5703125" customWidth="1"/>
    <col min="6340" max="6340" width="21.7109375" customWidth="1"/>
    <col min="6341" max="6341" width="14.140625" customWidth="1"/>
    <col min="6344" max="6345" width="18.7109375" bestFit="1" customWidth="1"/>
    <col min="6575" max="6575" width="14.42578125" customWidth="1"/>
    <col min="6579" max="6579" width="16.85546875" customWidth="1"/>
    <col min="6580" max="6580" width="9" customWidth="1"/>
    <col min="6581" max="6581" width="6.140625" customWidth="1"/>
    <col min="6582" max="6582" width="3.85546875" customWidth="1"/>
    <col min="6583" max="6583" width="11.7109375" customWidth="1"/>
    <col min="6584" max="6591" width="0" hidden="1" customWidth="1"/>
    <col min="6592" max="6592" width="10.140625" customWidth="1"/>
    <col min="6593" max="6593" width="15.85546875" customWidth="1"/>
    <col min="6594" max="6594" width="4.140625" customWidth="1"/>
    <col min="6595" max="6595" width="5.5703125" customWidth="1"/>
    <col min="6596" max="6596" width="21.7109375" customWidth="1"/>
    <col min="6597" max="6597" width="14.140625" customWidth="1"/>
    <col min="6600" max="6601" width="18.7109375" bestFit="1" customWidth="1"/>
    <col min="6831" max="6831" width="14.42578125" customWidth="1"/>
    <col min="6835" max="6835" width="16.85546875" customWidth="1"/>
    <col min="6836" max="6836" width="9" customWidth="1"/>
    <col min="6837" max="6837" width="6.140625" customWidth="1"/>
    <col min="6838" max="6838" width="3.85546875" customWidth="1"/>
    <col min="6839" max="6839" width="11.7109375" customWidth="1"/>
    <col min="6840" max="6847" width="0" hidden="1" customWidth="1"/>
    <col min="6848" max="6848" width="10.140625" customWidth="1"/>
    <col min="6849" max="6849" width="15.85546875" customWidth="1"/>
    <col min="6850" max="6850" width="4.140625" customWidth="1"/>
    <col min="6851" max="6851" width="5.5703125" customWidth="1"/>
    <col min="6852" max="6852" width="21.7109375" customWidth="1"/>
    <col min="6853" max="6853" width="14.140625" customWidth="1"/>
    <col min="6856" max="6857" width="18.7109375" bestFit="1" customWidth="1"/>
    <col min="7087" max="7087" width="14.42578125" customWidth="1"/>
    <col min="7091" max="7091" width="16.85546875" customWidth="1"/>
    <col min="7092" max="7092" width="9" customWidth="1"/>
    <col min="7093" max="7093" width="6.140625" customWidth="1"/>
    <col min="7094" max="7094" width="3.85546875" customWidth="1"/>
    <col min="7095" max="7095" width="11.7109375" customWidth="1"/>
    <col min="7096" max="7103" width="0" hidden="1" customWidth="1"/>
    <col min="7104" max="7104" width="10.140625" customWidth="1"/>
    <col min="7105" max="7105" width="15.85546875" customWidth="1"/>
    <col min="7106" max="7106" width="4.140625" customWidth="1"/>
    <col min="7107" max="7107" width="5.5703125" customWidth="1"/>
    <col min="7108" max="7108" width="21.7109375" customWidth="1"/>
    <col min="7109" max="7109" width="14.140625" customWidth="1"/>
    <col min="7112" max="7113" width="18.7109375" bestFit="1" customWidth="1"/>
    <col min="7343" max="7343" width="14.42578125" customWidth="1"/>
    <col min="7347" max="7347" width="16.85546875" customWidth="1"/>
    <col min="7348" max="7348" width="9" customWidth="1"/>
    <col min="7349" max="7349" width="6.140625" customWidth="1"/>
    <col min="7350" max="7350" width="3.85546875" customWidth="1"/>
    <col min="7351" max="7351" width="11.7109375" customWidth="1"/>
    <col min="7352" max="7359" width="0" hidden="1" customWidth="1"/>
    <col min="7360" max="7360" width="10.140625" customWidth="1"/>
    <col min="7361" max="7361" width="15.85546875" customWidth="1"/>
    <col min="7362" max="7362" width="4.140625" customWidth="1"/>
    <col min="7363" max="7363" width="5.5703125" customWidth="1"/>
    <col min="7364" max="7364" width="21.7109375" customWidth="1"/>
    <col min="7365" max="7365" width="14.140625" customWidth="1"/>
    <col min="7368" max="7369" width="18.7109375" bestFit="1" customWidth="1"/>
    <col min="7599" max="7599" width="14.42578125" customWidth="1"/>
    <col min="7603" max="7603" width="16.85546875" customWidth="1"/>
    <col min="7604" max="7604" width="9" customWidth="1"/>
    <col min="7605" max="7605" width="6.140625" customWidth="1"/>
    <col min="7606" max="7606" width="3.85546875" customWidth="1"/>
    <col min="7607" max="7607" width="11.7109375" customWidth="1"/>
    <col min="7608" max="7615" width="0" hidden="1" customWidth="1"/>
    <col min="7616" max="7616" width="10.140625" customWidth="1"/>
    <col min="7617" max="7617" width="15.85546875" customWidth="1"/>
    <col min="7618" max="7618" width="4.140625" customWidth="1"/>
    <col min="7619" max="7619" width="5.5703125" customWidth="1"/>
    <col min="7620" max="7620" width="21.7109375" customWidth="1"/>
    <col min="7621" max="7621" width="14.140625" customWidth="1"/>
    <col min="7624" max="7625" width="18.7109375" bestFit="1" customWidth="1"/>
    <col min="7855" max="7855" width="14.42578125" customWidth="1"/>
    <col min="7859" max="7859" width="16.85546875" customWidth="1"/>
    <col min="7860" max="7860" width="9" customWidth="1"/>
    <col min="7861" max="7861" width="6.140625" customWidth="1"/>
    <col min="7862" max="7862" width="3.85546875" customWidth="1"/>
    <col min="7863" max="7863" width="11.7109375" customWidth="1"/>
    <col min="7864" max="7871" width="0" hidden="1" customWidth="1"/>
    <col min="7872" max="7872" width="10.140625" customWidth="1"/>
    <col min="7873" max="7873" width="15.85546875" customWidth="1"/>
    <col min="7874" max="7874" width="4.140625" customWidth="1"/>
    <col min="7875" max="7875" width="5.5703125" customWidth="1"/>
    <col min="7876" max="7876" width="21.7109375" customWidth="1"/>
    <col min="7877" max="7877" width="14.140625" customWidth="1"/>
    <col min="7880" max="7881" width="18.7109375" bestFit="1" customWidth="1"/>
    <col min="8111" max="8111" width="14.42578125" customWidth="1"/>
    <col min="8115" max="8115" width="16.85546875" customWidth="1"/>
    <col min="8116" max="8116" width="9" customWidth="1"/>
    <col min="8117" max="8117" width="6.140625" customWidth="1"/>
    <col min="8118" max="8118" width="3.85546875" customWidth="1"/>
    <col min="8119" max="8119" width="11.7109375" customWidth="1"/>
    <col min="8120" max="8127" width="0" hidden="1" customWidth="1"/>
    <col min="8128" max="8128" width="10.140625" customWidth="1"/>
    <col min="8129" max="8129" width="15.85546875" customWidth="1"/>
    <col min="8130" max="8130" width="4.140625" customWidth="1"/>
    <col min="8131" max="8131" width="5.5703125" customWidth="1"/>
    <col min="8132" max="8132" width="21.7109375" customWidth="1"/>
    <col min="8133" max="8133" width="14.140625" customWidth="1"/>
    <col min="8136" max="8137" width="18.7109375" bestFit="1" customWidth="1"/>
    <col min="8367" max="8367" width="14.42578125" customWidth="1"/>
    <col min="8371" max="8371" width="16.85546875" customWidth="1"/>
    <col min="8372" max="8372" width="9" customWidth="1"/>
    <col min="8373" max="8373" width="6.140625" customWidth="1"/>
    <col min="8374" max="8374" width="3.85546875" customWidth="1"/>
    <col min="8375" max="8375" width="11.7109375" customWidth="1"/>
    <col min="8376" max="8383" width="0" hidden="1" customWidth="1"/>
    <col min="8384" max="8384" width="10.140625" customWidth="1"/>
    <col min="8385" max="8385" width="15.85546875" customWidth="1"/>
    <col min="8386" max="8386" width="4.140625" customWidth="1"/>
    <col min="8387" max="8387" width="5.5703125" customWidth="1"/>
    <col min="8388" max="8388" width="21.7109375" customWidth="1"/>
    <col min="8389" max="8389" width="14.140625" customWidth="1"/>
    <col min="8392" max="8393" width="18.7109375" bestFit="1" customWidth="1"/>
    <col min="8623" max="8623" width="14.42578125" customWidth="1"/>
    <col min="8627" max="8627" width="16.85546875" customWidth="1"/>
    <col min="8628" max="8628" width="9" customWidth="1"/>
    <col min="8629" max="8629" width="6.140625" customWidth="1"/>
    <col min="8630" max="8630" width="3.85546875" customWidth="1"/>
    <col min="8631" max="8631" width="11.7109375" customWidth="1"/>
    <col min="8632" max="8639" width="0" hidden="1" customWidth="1"/>
    <col min="8640" max="8640" width="10.140625" customWidth="1"/>
    <col min="8641" max="8641" width="15.85546875" customWidth="1"/>
    <col min="8642" max="8642" width="4.140625" customWidth="1"/>
    <col min="8643" max="8643" width="5.5703125" customWidth="1"/>
    <col min="8644" max="8644" width="21.7109375" customWidth="1"/>
    <col min="8645" max="8645" width="14.140625" customWidth="1"/>
    <col min="8648" max="8649" width="18.7109375" bestFit="1" customWidth="1"/>
    <col min="8879" max="8879" width="14.42578125" customWidth="1"/>
    <col min="8883" max="8883" width="16.85546875" customWidth="1"/>
    <col min="8884" max="8884" width="9" customWidth="1"/>
    <col min="8885" max="8885" width="6.140625" customWidth="1"/>
    <col min="8886" max="8886" width="3.85546875" customWidth="1"/>
    <col min="8887" max="8887" width="11.7109375" customWidth="1"/>
    <col min="8888" max="8895" width="0" hidden="1" customWidth="1"/>
    <col min="8896" max="8896" width="10.140625" customWidth="1"/>
    <col min="8897" max="8897" width="15.85546875" customWidth="1"/>
    <col min="8898" max="8898" width="4.140625" customWidth="1"/>
    <col min="8899" max="8899" width="5.5703125" customWidth="1"/>
    <col min="8900" max="8900" width="21.7109375" customWidth="1"/>
    <col min="8901" max="8901" width="14.140625" customWidth="1"/>
    <col min="8904" max="8905" width="18.7109375" bestFit="1" customWidth="1"/>
    <col min="9135" max="9135" width="14.42578125" customWidth="1"/>
    <col min="9139" max="9139" width="16.85546875" customWidth="1"/>
    <col min="9140" max="9140" width="9" customWidth="1"/>
    <col min="9141" max="9141" width="6.140625" customWidth="1"/>
    <col min="9142" max="9142" width="3.85546875" customWidth="1"/>
    <col min="9143" max="9143" width="11.7109375" customWidth="1"/>
    <col min="9144" max="9151" width="0" hidden="1" customWidth="1"/>
    <col min="9152" max="9152" width="10.140625" customWidth="1"/>
    <col min="9153" max="9153" width="15.85546875" customWidth="1"/>
    <col min="9154" max="9154" width="4.140625" customWidth="1"/>
    <col min="9155" max="9155" width="5.5703125" customWidth="1"/>
    <col min="9156" max="9156" width="21.7109375" customWidth="1"/>
    <col min="9157" max="9157" width="14.140625" customWidth="1"/>
    <col min="9160" max="9161" width="18.7109375" bestFit="1" customWidth="1"/>
    <col min="9391" max="9391" width="14.42578125" customWidth="1"/>
    <col min="9395" max="9395" width="16.85546875" customWidth="1"/>
    <col min="9396" max="9396" width="9" customWidth="1"/>
    <col min="9397" max="9397" width="6.140625" customWidth="1"/>
    <col min="9398" max="9398" width="3.85546875" customWidth="1"/>
    <col min="9399" max="9399" width="11.7109375" customWidth="1"/>
    <col min="9400" max="9407" width="0" hidden="1" customWidth="1"/>
    <col min="9408" max="9408" width="10.140625" customWidth="1"/>
    <col min="9409" max="9409" width="15.85546875" customWidth="1"/>
    <col min="9410" max="9410" width="4.140625" customWidth="1"/>
    <col min="9411" max="9411" width="5.5703125" customWidth="1"/>
    <col min="9412" max="9412" width="21.7109375" customWidth="1"/>
    <col min="9413" max="9413" width="14.140625" customWidth="1"/>
    <col min="9416" max="9417" width="18.7109375" bestFit="1" customWidth="1"/>
    <col min="9647" max="9647" width="14.42578125" customWidth="1"/>
    <col min="9651" max="9651" width="16.85546875" customWidth="1"/>
    <col min="9652" max="9652" width="9" customWidth="1"/>
    <col min="9653" max="9653" width="6.140625" customWidth="1"/>
    <col min="9654" max="9654" width="3.85546875" customWidth="1"/>
    <col min="9655" max="9655" width="11.7109375" customWidth="1"/>
    <col min="9656" max="9663" width="0" hidden="1" customWidth="1"/>
    <col min="9664" max="9664" width="10.140625" customWidth="1"/>
    <col min="9665" max="9665" width="15.85546875" customWidth="1"/>
    <col min="9666" max="9666" width="4.140625" customWidth="1"/>
    <col min="9667" max="9667" width="5.5703125" customWidth="1"/>
    <col min="9668" max="9668" width="21.7109375" customWidth="1"/>
    <col min="9669" max="9669" width="14.140625" customWidth="1"/>
    <col min="9672" max="9673" width="18.7109375" bestFit="1" customWidth="1"/>
    <col min="9903" max="9903" width="14.42578125" customWidth="1"/>
    <col min="9907" max="9907" width="16.85546875" customWidth="1"/>
    <col min="9908" max="9908" width="9" customWidth="1"/>
    <col min="9909" max="9909" width="6.140625" customWidth="1"/>
    <col min="9910" max="9910" width="3.85546875" customWidth="1"/>
    <col min="9911" max="9911" width="11.7109375" customWidth="1"/>
    <col min="9912" max="9919" width="0" hidden="1" customWidth="1"/>
    <col min="9920" max="9920" width="10.140625" customWidth="1"/>
    <col min="9921" max="9921" width="15.85546875" customWidth="1"/>
    <col min="9922" max="9922" width="4.140625" customWidth="1"/>
    <col min="9923" max="9923" width="5.5703125" customWidth="1"/>
    <col min="9924" max="9924" width="21.7109375" customWidth="1"/>
    <col min="9925" max="9925" width="14.140625" customWidth="1"/>
    <col min="9928" max="9929" width="18.7109375" bestFit="1" customWidth="1"/>
    <col min="10159" max="10159" width="14.42578125" customWidth="1"/>
    <col min="10163" max="10163" width="16.85546875" customWidth="1"/>
    <col min="10164" max="10164" width="9" customWidth="1"/>
    <col min="10165" max="10165" width="6.140625" customWidth="1"/>
    <col min="10166" max="10166" width="3.85546875" customWidth="1"/>
    <col min="10167" max="10167" width="11.7109375" customWidth="1"/>
    <col min="10168" max="10175" width="0" hidden="1" customWidth="1"/>
    <col min="10176" max="10176" width="10.140625" customWidth="1"/>
    <col min="10177" max="10177" width="15.85546875" customWidth="1"/>
    <col min="10178" max="10178" width="4.140625" customWidth="1"/>
    <col min="10179" max="10179" width="5.5703125" customWidth="1"/>
    <col min="10180" max="10180" width="21.7109375" customWidth="1"/>
    <col min="10181" max="10181" width="14.140625" customWidth="1"/>
    <col min="10184" max="10185" width="18.7109375" bestFit="1" customWidth="1"/>
    <col min="10415" max="10415" width="14.42578125" customWidth="1"/>
    <col min="10419" max="10419" width="16.85546875" customWidth="1"/>
    <col min="10420" max="10420" width="9" customWidth="1"/>
    <col min="10421" max="10421" width="6.140625" customWidth="1"/>
    <col min="10422" max="10422" width="3.85546875" customWidth="1"/>
    <col min="10423" max="10423" width="11.7109375" customWidth="1"/>
    <col min="10424" max="10431" width="0" hidden="1" customWidth="1"/>
    <col min="10432" max="10432" width="10.140625" customWidth="1"/>
    <col min="10433" max="10433" width="15.85546875" customWidth="1"/>
    <col min="10434" max="10434" width="4.140625" customWidth="1"/>
    <col min="10435" max="10435" width="5.5703125" customWidth="1"/>
    <col min="10436" max="10436" width="21.7109375" customWidth="1"/>
    <col min="10437" max="10437" width="14.140625" customWidth="1"/>
    <col min="10440" max="10441" width="18.7109375" bestFit="1" customWidth="1"/>
    <col min="10671" max="10671" width="14.42578125" customWidth="1"/>
    <col min="10675" max="10675" width="16.85546875" customWidth="1"/>
    <col min="10676" max="10676" width="9" customWidth="1"/>
    <col min="10677" max="10677" width="6.140625" customWidth="1"/>
    <col min="10678" max="10678" width="3.85546875" customWidth="1"/>
    <col min="10679" max="10679" width="11.7109375" customWidth="1"/>
    <col min="10680" max="10687" width="0" hidden="1" customWidth="1"/>
    <col min="10688" max="10688" width="10.140625" customWidth="1"/>
    <col min="10689" max="10689" width="15.85546875" customWidth="1"/>
    <col min="10690" max="10690" width="4.140625" customWidth="1"/>
    <col min="10691" max="10691" width="5.5703125" customWidth="1"/>
    <col min="10692" max="10692" width="21.7109375" customWidth="1"/>
    <col min="10693" max="10693" width="14.140625" customWidth="1"/>
    <col min="10696" max="10697" width="18.7109375" bestFit="1" customWidth="1"/>
    <col min="10927" max="10927" width="14.42578125" customWidth="1"/>
    <col min="10931" max="10931" width="16.85546875" customWidth="1"/>
    <col min="10932" max="10932" width="9" customWidth="1"/>
    <col min="10933" max="10933" width="6.140625" customWidth="1"/>
    <col min="10934" max="10934" width="3.85546875" customWidth="1"/>
    <col min="10935" max="10935" width="11.7109375" customWidth="1"/>
    <col min="10936" max="10943" width="0" hidden="1" customWidth="1"/>
    <col min="10944" max="10944" width="10.140625" customWidth="1"/>
    <col min="10945" max="10945" width="15.85546875" customWidth="1"/>
    <col min="10946" max="10946" width="4.140625" customWidth="1"/>
    <col min="10947" max="10947" width="5.5703125" customWidth="1"/>
    <col min="10948" max="10948" width="21.7109375" customWidth="1"/>
    <col min="10949" max="10949" width="14.140625" customWidth="1"/>
    <col min="10952" max="10953" width="18.7109375" bestFit="1" customWidth="1"/>
    <col min="11183" max="11183" width="14.42578125" customWidth="1"/>
    <col min="11187" max="11187" width="16.85546875" customWidth="1"/>
    <col min="11188" max="11188" width="9" customWidth="1"/>
    <col min="11189" max="11189" width="6.140625" customWidth="1"/>
    <col min="11190" max="11190" width="3.85546875" customWidth="1"/>
    <col min="11191" max="11191" width="11.7109375" customWidth="1"/>
    <col min="11192" max="11199" width="0" hidden="1" customWidth="1"/>
    <col min="11200" max="11200" width="10.140625" customWidth="1"/>
    <col min="11201" max="11201" width="15.85546875" customWidth="1"/>
    <col min="11202" max="11202" width="4.140625" customWidth="1"/>
    <col min="11203" max="11203" width="5.5703125" customWidth="1"/>
    <col min="11204" max="11204" width="21.7109375" customWidth="1"/>
    <col min="11205" max="11205" width="14.140625" customWidth="1"/>
    <col min="11208" max="11209" width="18.7109375" bestFit="1" customWidth="1"/>
    <col min="11439" max="11439" width="14.42578125" customWidth="1"/>
    <col min="11443" max="11443" width="16.85546875" customWidth="1"/>
    <col min="11444" max="11444" width="9" customWidth="1"/>
    <col min="11445" max="11445" width="6.140625" customWidth="1"/>
    <col min="11446" max="11446" width="3.85546875" customWidth="1"/>
    <col min="11447" max="11447" width="11.7109375" customWidth="1"/>
    <col min="11448" max="11455" width="0" hidden="1" customWidth="1"/>
    <col min="11456" max="11456" width="10.140625" customWidth="1"/>
    <col min="11457" max="11457" width="15.85546875" customWidth="1"/>
    <col min="11458" max="11458" width="4.140625" customWidth="1"/>
    <col min="11459" max="11459" width="5.5703125" customWidth="1"/>
    <col min="11460" max="11460" width="21.7109375" customWidth="1"/>
    <col min="11461" max="11461" width="14.140625" customWidth="1"/>
    <col min="11464" max="11465" width="18.7109375" bestFit="1" customWidth="1"/>
    <col min="11695" max="11695" width="14.42578125" customWidth="1"/>
    <col min="11699" max="11699" width="16.85546875" customWidth="1"/>
    <col min="11700" max="11700" width="9" customWidth="1"/>
    <col min="11701" max="11701" width="6.140625" customWidth="1"/>
    <col min="11702" max="11702" width="3.85546875" customWidth="1"/>
    <col min="11703" max="11703" width="11.7109375" customWidth="1"/>
    <col min="11704" max="11711" width="0" hidden="1" customWidth="1"/>
    <col min="11712" max="11712" width="10.140625" customWidth="1"/>
    <col min="11713" max="11713" width="15.85546875" customWidth="1"/>
    <col min="11714" max="11714" width="4.140625" customWidth="1"/>
    <col min="11715" max="11715" width="5.5703125" customWidth="1"/>
    <col min="11716" max="11716" width="21.7109375" customWidth="1"/>
    <col min="11717" max="11717" width="14.140625" customWidth="1"/>
    <col min="11720" max="11721" width="18.7109375" bestFit="1" customWidth="1"/>
    <col min="11951" max="11951" width="14.42578125" customWidth="1"/>
    <col min="11955" max="11955" width="16.85546875" customWidth="1"/>
    <col min="11956" max="11956" width="9" customWidth="1"/>
    <col min="11957" max="11957" width="6.140625" customWidth="1"/>
    <col min="11958" max="11958" width="3.85546875" customWidth="1"/>
    <col min="11959" max="11959" width="11.7109375" customWidth="1"/>
    <col min="11960" max="11967" width="0" hidden="1" customWidth="1"/>
    <col min="11968" max="11968" width="10.140625" customWidth="1"/>
    <col min="11969" max="11969" width="15.85546875" customWidth="1"/>
    <col min="11970" max="11970" width="4.140625" customWidth="1"/>
    <col min="11971" max="11971" width="5.5703125" customWidth="1"/>
    <col min="11972" max="11972" width="21.7109375" customWidth="1"/>
    <col min="11973" max="11973" width="14.140625" customWidth="1"/>
    <col min="11976" max="11977" width="18.7109375" bestFit="1" customWidth="1"/>
    <col min="12207" max="12207" width="14.42578125" customWidth="1"/>
    <col min="12211" max="12211" width="16.85546875" customWidth="1"/>
    <col min="12212" max="12212" width="9" customWidth="1"/>
    <col min="12213" max="12213" width="6.140625" customWidth="1"/>
    <col min="12214" max="12214" width="3.85546875" customWidth="1"/>
    <col min="12215" max="12215" width="11.7109375" customWidth="1"/>
    <col min="12216" max="12223" width="0" hidden="1" customWidth="1"/>
    <col min="12224" max="12224" width="10.140625" customWidth="1"/>
    <col min="12225" max="12225" width="15.85546875" customWidth="1"/>
    <col min="12226" max="12226" width="4.140625" customWidth="1"/>
    <col min="12227" max="12227" width="5.5703125" customWidth="1"/>
    <col min="12228" max="12228" width="21.7109375" customWidth="1"/>
    <col min="12229" max="12229" width="14.140625" customWidth="1"/>
    <col min="12232" max="12233" width="18.7109375" bestFit="1" customWidth="1"/>
    <col min="12463" max="12463" width="14.42578125" customWidth="1"/>
    <col min="12467" max="12467" width="16.85546875" customWidth="1"/>
    <col min="12468" max="12468" width="9" customWidth="1"/>
    <col min="12469" max="12469" width="6.140625" customWidth="1"/>
    <col min="12470" max="12470" width="3.85546875" customWidth="1"/>
    <col min="12471" max="12471" width="11.7109375" customWidth="1"/>
    <col min="12472" max="12479" width="0" hidden="1" customWidth="1"/>
    <col min="12480" max="12480" width="10.140625" customWidth="1"/>
    <col min="12481" max="12481" width="15.85546875" customWidth="1"/>
    <col min="12482" max="12482" width="4.140625" customWidth="1"/>
    <col min="12483" max="12483" width="5.5703125" customWidth="1"/>
    <col min="12484" max="12484" width="21.7109375" customWidth="1"/>
    <col min="12485" max="12485" width="14.140625" customWidth="1"/>
    <col min="12488" max="12489" width="18.7109375" bestFit="1" customWidth="1"/>
    <col min="12719" max="12719" width="14.42578125" customWidth="1"/>
    <col min="12723" max="12723" width="16.85546875" customWidth="1"/>
    <col min="12724" max="12724" width="9" customWidth="1"/>
    <col min="12725" max="12725" width="6.140625" customWidth="1"/>
    <col min="12726" max="12726" width="3.85546875" customWidth="1"/>
    <col min="12727" max="12727" width="11.7109375" customWidth="1"/>
    <col min="12728" max="12735" width="0" hidden="1" customWidth="1"/>
    <col min="12736" max="12736" width="10.140625" customWidth="1"/>
    <col min="12737" max="12737" width="15.85546875" customWidth="1"/>
    <col min="12738" max="12738" width="4.140625" customWidth="1"/>
    <col min="12739" max="12739" width="5.5703125" customWidth="1"/>
    <col min="12740" max="12740" width="21.7109375" customWidth="1"/>
    <col min="12741" max="12741" width="14.140625" customWidth="1"/>
    <col min="12744" max="12745" width="18.7109375" bestFit="1" customWidth="1"/>
    <col min="12975" max="12975" width="14.42578125" customWidth="1"/>
    <col min="12979" max="12979" width="16.85546875" customWidth="1"/>
    <col min="12980" max="12980" width="9" customWidth="1"/>
    <col min="12981" max="12981" width="6.140625" customWidth="1"/>
    <col min="12982" max="12982" width="3.85546875" customWidth="1"/>
    <col min="12983" max="12983" width="11.7109375" customWidth="1"/>
    <col min="12984" max="12991" width="0" hidden="1" customWidth="1"/>
    <col min="12992" max="12992" width="10.140625" customWidth="1"/>
    <col min="12993" max="12993" width="15.85546875" customWidth="1"/>
    <col min="12994" max="12994" width="4.140625" customWidth="1"/>
    <col min="12995" max="12995" width="5.5703125" customWidth="1"/>
    <col min="12996" max="12996" width="21.7109375" customWidth="1"/>
    <col min="12997" max="12997" width="14.140625" customWidth="1"/>
    <col min="13000" max="13001" width="18.7109375" bestFit="1" customWidth="1"/>
    <col min="13231" max="13231" width="14.42578125" customWidth="1"/>
    <col min="13235" max="13235" width="16.85546875" customWidth="1"/>
    <col min="13236" max="13236" width="9" customWidth="1"/>
    <col min="13237" max="13237" width="6.140625" customWidth="1"/>
    <col min="13238" max="13238" width="3.85546875" customWidth="1"/>
    <col min="13239" max="13239" width="11.7109375" customWidth="1"/>
    <col min="13240" max="13247" width="0" hidden="1" customWidth="1"/>
    <col min="13248" max="13248" width="10.140625" customWidth="1"/>
    <col min="13249" max="13249" width="15.85546875" customWidth="1"/>
    <col min="13250" max="13250" width="4.140625" customWidth="1"/>
    <col min="13251" max="13251" width="5.5703125" customWidth="1"/>
    <col min="13252" max="13252" width="21.7109375" customWidth="1"/>
    <col min="13253" max="13253" width="14.140625" customWidth="1"/>
    <col min="13256" max="13257" width="18.7109375" bestFit="1" customWidth="1"/>
    <col min="13487" max="13487" width="14.42578125" customWidth="1"/>
    <col min="13491" max="13491" width="16.85546875" customWidth="1"/>
    <col min="13492" max="13492" width="9" customWidth="1"/>
    <col min="13493" max="13493" width="6.140625" customWidth="1"/>
    <col min="13494" max="13494" width="3.85546875" customWidth="1"/>
    <col min="13495" max="13495" width="11.7109375" customWidth="1"/>
    <col min="13496" max="13503" width="0" hidden="1" customWidth="1"/>
    <col min="13504" max="13504" width="10.140625" customWidth="1"/>
    <col min="13505" max="13505" width="15.85546875" customWidth="1"/>
    <col min="13506" max="13506" width="4.140625" customWidth="1"/>
    <col min="13507" max="13507" width="5.5703125" customWidth="1"/>
    <col min="13508" max="13508" width="21.7109375" customWidth="1"/>
    <col min="13509" max="13509" width="14.140625" customWidth="1"/>
    <col min="13512" max="13513" width="18.7109375" bestFit="1" customWidth="1"/>
    <col min="13743" max="13743" width="14.42578125" customWidth="1"/>
    <col min="13747" max="13747" width="16.85546875" customWidth="1"/>
    <col min="13748" max="13748" width="9" customWidth="1"/>
    <col min="13749" max="13749" width="6.140625" customWidth="1"/>
    <col min="13750" max="13750" width="3.85546875" customWidth="1"/>
    <col min="13751" max="13751" width="11.7109375" customWidth="1"/>
    <col min="13752" max="13759" width="0" hidden="1" customWidth="1"/>
    <col min="13760" max="13760" width="10.140625" customWidth="1"/>
    <col min="13761" max="13761" width="15.85546875" customWidth="1"/>
    <col min="13762" max="13762" width="4.140625" customWidth="1"/>
    <col min="13763" max="13763" width="5.5703125" customWidth="1"/>
    <col min="13764" max="13764" width="21.7109375" customWidth="1"/>
    <col min="13765" max="13765" width="14.140625" customWidth="1"/>
    <col min="13768" max="13769" width="18.7109375" bestFit="1" customWidth="1"/>
    <col min="13999" max="13999" width="14.42578125" customWidth="1"/>
    <col min="14003" max="14003" width="16.85546875" customWidth="1"/>
    <col min="14004" max="14004" width="9" customWidth="1"/>
    <col min="14005" max="14005" width="6.140625" customWidth="1"/>
    <col min="14006" max="14006" width="3.85546875" customWidth="1"/>
    <col min="14007" max="14007" width="11.7109375" customWidth="1"/>
    <col min="14008" max="14015" width="0" hidden="1" customWidth="1"/>
    <col min="14016" max="14016" width="10.140625" customWidth="1"/>
    <col min="14017" max="14017" width="15.85546875" customWidth="1"/>
    <col min="14018" max="14018" width="4.140625" customWidth="1"/>
    <col min="14019" max="14019" width="5.5703125" customWidth="1"/>
    <col min="14020" max="14020" width="21.7109375" customWidth="1"/>
    <col min="14021" max="14021" width="14.140625" customWidth="1"/>
    <col min="14024" max="14025" width="18.7109375" bestFit="1" customWidth="1"/>
    <col min="14255" max="14255" width="14.42578125" customWidth="1"/>
    <col min="14259" max="14259" width="16.85546875" customWidth="1"/>
    <col min="14260" max="14260" width="9" customWidth="1"/>
    <col min="14261" max="14261" width="6.140625" customWidth="1"/>
    <col min="14262" max="14262" width="3.85546875" customWidth="1"/>
    <col min="14263" max="14263" width="11.7109375" customWidth="1"/>
    <col min="14264" max="14271" width="0" hidden="1" customWidth="1"/>
    <col min="14272" max="14272" width="10.140625" customWidth="1"/>
    <col min="14273" max="14273" width="15.85546875" customWidth="1"/>
    <col min="14274" max="14274" width="4.140625" customWidth="1"/>
    <col min="14275" max="14275" width="5.5703125" customWidth="1"/>
    <col min="14276" max="14276" width="21.7109375" customWidth="1"/>
    <col min="14277" max="14277" width="14.140625" customWidth="1"/>
    <col min="14280" max="14281" width="18.7109375" bestFit="1" customWidth="1"/>
    <col min="14511" max="14511" width="14.42578125" customWidth="1"/>
    <col min="14515" max="14515" width="16.85546875" customWidth="1"/>
    <col min="14516" max="14516" width="9" customWidth="1"/>
    <col min="14517" max="14517" width="6.140625" customWidth="1"/>
    <col min="14518" max="14518" width="3.85546875" customWidth="1"/>
    <col min="14519" max="14519" width="11.7109375" customWidth="1"/>
    <col min="14520" max="14527" width="0" hidden="1" customWidth="1"/>
    <col min="14528" max="14528" width="10.140625" customWidth="1"/>
    <col min="14529" max="14529" width="15.85546875" customWidth="1"/>
    <col min="14530" max="14530" width="4.140625" customWidth="1"/>
    <col min="14531" max="14531" width="5.5703125" customWidth="1"/>
    <col min="14532" max="14532" width="21.7109375" customWidth="1"/>
    <col min="14533" max="14533" width="14.140625" customWidth="1"/>
    <col min="14536" max="14537" width="18.7109375" bestFit="1" customWidth="1"/>
    <col min="14767" max="14767" width="14.42578125" customWidth="1"/>
    <col min="14771" max="14771" width="16.85546875" customWidth="1"/>
    <col min="14772" max="14772" width="9" customWidth="1"/>
    <col min="14773" max="14773" width="6.140625" customWidth="1"/>
    <col min="14774" max="14774" width="3.85546875" customWidth="1"/>
    <col min="14775" max="14775" width="11.7109375" customWidth="1"/>
    <col min="14776" max="14783" width="0" hidden="1" customWidth="1"/>
    <col min="14784" max="14784" width="10.140625" customWidth="1"/>
    <col min="14785" max="14785" width="15.85546875" customWidth="1"/>
    <col min="14786" max="14786" width="4.140625" customWidth="1"/>
    <col min="14787" max="14787" width="5.5703125" customWidth="1"/>
    <col min="14788" max="14788" width="21.7109375" customWidth="1"/>
    <col min="14789" max="14789" width="14.140625" customWidth="1"/>
    <col min="14792" max="14793" width="18.7109375" bestFit="1" customWidth="1"/>
    <col min="15023" max="15023" width="14.42578125" customWidth="1"/>
    <col min="15027" max="15027" width="16.85546875" customWidth="1"/>
    <col min="15028" max="15028" width="9" customWidth="1"/>
    <col min="15029" max="15029" width="6.140625" customWidth="1"/>
    <col min="15030" max="15030" width="3.85546875" customWidth="1"/>
    <col min="15031" max="15031" width="11.7109375" customWidth="1"/>
    <col min="15032" max="15039" width="0" hidden="1" customWidth="1"/>
    <col min="15040" max="15040" width="10.140625" customWidth="1"/>
    <col min="15041" max="15041" width="15.85546875" customWidth="1"/>
    <col min="15042" max="15042" width="4.140625" customWidth="1"/>
    <col min="15043" max="15043" width="5.5703125" customWidth="1"/>
    <col min="15044" max="15044" width="21.7109375" customWidth="1"/>
    <col min="15045" max="15045" width="14.140625" customWidth="1"/>
    <col min="15048" max="15049" width="18.7109375" bestFit="1" customWidth="1"/>
    <col min="15279" max="15279" width="14.42578125" customWidth="1"/>
    <col min="15283" max="15283" width="16.85546875" customWidth="1"/>
    <col min="15284" max="15284" width="9" customWidth="1"/>
    <col min="15285" max="15285" width="6.140625" customWidth="1"/>
    <col min="15286" max="15286" width="3.85546875" customWidth="1"/>
    <col min="15287" max="15287" width="11.7109375" customWidth="1"/>
    <col min="15288" max="15295" width="0" hidden="1" customWidth="1"/>
    <col min="15296" max="15296" width="10.140625" customWidth="1"/>
    <col min="15297" max="15297" width="15.85546875" customWidth="1"/>
    <col min="15298" max="15298" width="4.140625" customWidth="1"/>
    <col min="15299" max="15299" width="5.5703125" customWidth="1"/>
    <col min="15300" max="15300" width="21.7109375" customWidth="1"/>
    <col min="15301" max="15301" width="14.140625" customWidth="1"/>
    <col min="15304" max="15305" width="18.7109375" bestFit="1" customWidth="1"/>
    <col min="15535" max="15535" width="14.42578125" customWidth="1"/>
    <col min="15539" max="15539" width="16.85546875" customWidth="1"/>
    <col min="15540" max="15540" width="9" customWidth="1"/>
    <col min="15541" max="15541" width="6.140625" customWidth="1"/>
    <col min="15542" max="15542" width="3.85546875" customWidth="1"/>
    <col min="15543" max="15543" width="11.7109375" customWidth="1"/>
    <col min="15544" max="15551" width="0" hidden="1" customWidth="1"/>
    <col min="15552" max="15552" width="10.140625" customWidth="1"/>
    <col min="15553" max="15553" width="15.85546875" customWidth="1"/>
    <col min="15554" max="15554" width="4.140625" customWidth="1"/>
    <col min="15555" max="15555" width="5.5703125" customWidth="1"/>
    <col min="15556" max="15556" width="21.7109375" customWidth="1"/>
    <col min="15557" max="15557" width="14.140625" customWidth="1"/>
    <col min="15560" max="15561" width="18.7109375" bestFit="1" customWidth="1"/>
    <col min="15791" max="15791" width="14.42578125" customWidth="1"/>
    <col min="15795" max="15795" width="16.85546875" customWidth="1"/>
    <col min="15796" max="15796" width="9" customWidth="1"/>
    <col min="15797" max="15797" width="6.140625" customWidth="1"/>
    <col min="15798" max="15798" width="3.85546875" customWidth="1"/>
    <col min="15799" max="15799" width="11.7109375" customWidth="1"/>
    <col min="15800" max="15807" width="0" hidden="1" customWidth="1"/>
    <col min="15808" max="15808" width="10.140625" customWidth="1"/>
    <col min="15809" max="15809" width="15.85546875" customWidth="1"/>
    <col min="15810" max="15810" width="4.140625" customWidth="1"/>
    <col min="15811" max="15811" width="5.5703125" customWidth="1"/>
    <col min="15812" max="15812" width="21.7109375" customWidth="1"/>
    <col min="15813" max="15813" width="14.140625" customWidth="1"/>
    <col min="15816" max="15817" width="18.7109375" bestFit="1" customWidth="1"/>
    <col min="16047" max="16047" width="14.42578125" customWidth="1"/>
    <col min="16051" max="16051" width="16.85546875" customWidth="1"/>
    <col min="16052" max="16052" width="9" customWidth="1"/>
    <col min="16053" max="16053" width="6.140625" customWidth="1"/>
    <col min="16054" max="16054" width="3.85546875" customWidth="1"/>
    <col min="16055" max="16055" width="11.7109375" customWidth="1"/>
    <col min="16056" max="16063" width="0" hidden="1" customWidth="1"/>
    <col min="16064" max="16064" width="10.140625" customWidth="1"/>
    <col min="16065" max="16065" width="15.85546875" customWidth="1"/>
    <col min="16066" max="16066" width="4.140625" customWidth="1"/>
    <col min="16067" max="16067" width="5.5703125" customWidth="1"/>
    <col min="16068" max="16068" width="21.7109375" customWidth="1"/>
    <col min="16069" max="16069" width="14.140625" customWidth="1"/>
    <col min="16072" max="16073" width="18.7109375" bestFit="1" customWidth="1"/>
  </cols>
  <sheetData>
    <row r="1" spans="1:8" ht="51" customHeight="1" x14ac:dyDescent="0.2">
      <c r="B1" s="344"/>
      <c r="C1" s="344"/>
      <c r="D1" s="344"/>
    </row>
    <row r="2" spans="1:8" ht="19.5" customHeight="1" thickBot="1" x14ac:dyDescent="0.3">
      <c r="B2" s="380" t="s">
        <v>175</v>
      </c>
      <c r="C2" s="380"/>
      <c r="D2" s="380"/>
    </row>
    <row r="3" spans="1:8" ht="35.1" customHeight="1" thickBot="1" x14ac:dyDescent="0.25">
      <c r="B3" s="343" t="s">
        <v>275</v>
      </c>
      <c r="C3" s="343"/>
      <c r="D3" s="343"/>
      <c r="F3" s="377" t="s">
        <v>182</v>
      </c>
      <c r="G3" s="378"/>
    </row>
    <row r="4" spans="1:8" ht="21" customHeight="1" thickBot="1" x14ac:dyDescent="0.25">
      <c r="B4" s="68" t="s">
        <v>170</v>
      </c>
      <c r="C4" s="69"/>
      <c r="D4" s="70">
        <v>54561.26</v>
      </c>
      <c r="F4" s="75" t="s">
        <v>116</v>
      </c>
      <c r="G4" s="76" t="s">
        <v>177</v>
      </c>
    </row>
    <row r="5" spans="1:8" ht="15.6" customHeight="1" x14ac:dyDescent="0.2">
      <c r="A5" s="57"/>
      <c r="B5" s="41"/>
      <c r="F5" s="71">
        <v>0.1</v>
      </c>
      <c r="G5" s="72">
        <v>0</v>
      </c>
    </row>
    <row r="6" spans="1:8" ht="15.6" customHeight="1" x14ac:dyDescent="0.2">
      <c r="B6" s="381" t="s">
        <v>125</v>
      </c>
      <c r="C6" s="382"/>
      <c r="D6" s="383"/>
      <c r="F6" s="71">
        <v>0.08</v>
      </c>
      <c r="G6" s="72">
        <v>60</v>
      </c>
    </row>
    <row r="7" spans="1:8" ht="15.6" customHeight="1" x14ac:dyDescent="0.2">
      <c r="B7" s="42"/>
      <c r="C7" s="62"/>
      <c r="D7" s="62"/>
      <c r="F7" s="71">
        <v>7.0000000000000007E-2</v>
      </c>
      <c r="G7" s="72">
        <v>120</v>
      </c>
    </row>
    <row r="8" spans="1:8" s="1" customFormat="1" ht="15.75" x14ac:dyDescent="0.2">
      <c r="B8" s="463" t="s">
        <v>3</v>
      </c>
      <c r="C8" s="464"/>
      <c r="D8" s="464"/>
      <c r="F8" s="71">
        <v>0.05</v>
      </c>
      <c r="G8" s="72">
        <v>240</v>
      </c>
      <c r="H8"/>
    </row>
    <row r="9" spans="1:8" s="1" customFormat="1" ht="15" customHeight="1" x14ac:dyDescent="0.2">
      <c r="B9" s="106"/>
      <c r="C9" s="107"/>
      <c r="D9" s="108"/>
      <c r="F9" s="71">
        <v>0.04</v>
      </c>
      <c r="G9" s="72">
        <v>4800</v>
      </c>
      <c r="H9"/>
    </row>
    <row r="10" spans="1:8" s="1" customFormat="1" ht="15" customHeight="1" x14ac:dyDescent="0.2">
      <c r="B10" s="84" t="s">
        <v>112</v>
      </c>
      <c r="C10" s="95" t="s">
        <v>152</v>
      </c>
      <c r="D10" s="109" t="s">
        <v>111</v>
      </c>
      <c r="F10" s="71">
        <v>0.03</v>
      </c>
      <c r="G10" s="72">
        <v>10000</v>
      </c>
      <c r="H10"/>
    </row>
    <row r="11" spans="1:8" s="1" customFormat="1" ht="15" customHeight="1" thickBot="1" x14ac:dyDescent="0.25">
      <c r="B11" s="110" t="s">
        <v>4</v>
      </c>
      <c r="C11" s="111">
        <v>1</v>
      </c>
      <c r="D11" s="89">
        <f>+$D$4*C11</f>
        <v>54561.26</v>
      </c>
      <c r="F11" s="73">
        <v>0.02</v>
      </c>
      <c r="G11" s="74">
        <v>20000</v>
      </c>
      <c r="H11"/>
    </row>
    <row r="12" spans="1:8" s="1" customFormat="1" ht="15" customHeight="1" x14ac:dyDescent="0.2">
      <c r="B12" s="110" t="s">
        <v>5</v>
      </c>
      <c r="C12" s="88">
        <v>1.4</v>
      </c>
      <c r="D12" s="89">
        <f t="shared" ref="D12:D14" si="0">+$D$4*C12</f>
        <v>76385.763999999996</v>
      </c>
      <c r="H12"/>
    </row>
    <row r="13" spans="1:8" s="1" customFormat="1" ht="16.149999999999999" customHeight="1" x14ac:dyDescent="0.2">
      <c r="B13" s="110" t="s">
        <v>6</v>
      </c>
      <c r="C13" s="88">
        <v>1.45</v>
      </c>
      <c r="D13" s="89">
        <f t="shared" si="0"/>
        <v>79113.827000000005</v>
      </c>
    </row>
    <row r="14" spans="1:8" s="1" customFormat="1" ht="15" x14ac:dyDescent="0.2">
      <c r="B14" s="110" t="s">
        <v>7</v>
      </c>
      <c r="C14" s="112">
        <v>1.5</v>
      </c>
      <c r="D14" s="89">
        <f t="shared" si="0"/>
        <v>81841.89</v>
      </c>
      <c r="F14" s="59" t="s">
        <v>145</v>
      </c>
      <c r="G14" s="58" t="s">
        <v>139</v>
      </c>
    </row>
    <row r="15" spans="1:8" s="1" customFormat="1" ht="15" customHeight="1" x14ac:dyDescent="0.2">
      <c r="B15" s="98"/>
      <c r="C15" s="113"/>
      <c r="D15" s="86"/>
      <c r="F15" s="44" t="s">
        <v>137</v>
      </c>
      <c r="G15" s="128">
        <v>1</v>
      </c>
    </row>
    <row r="16" spans="1:8" s="1" customFormat="1" ht="15" customHeight="1" x14ac:dyDescent="0.25">
      <c r="B16" s="84" t="s">
        <v>8</v>
      </c>
      <c r="C16" s="85"/>
      <c r="D16" s="86"/>
      <c r="F16" s="43" t="s">
        <v>274</v>
      </c>
      <c r="G16" s="129">
        <v>0.5</v>
      </c>
    </row>
    <row r="17" spans="2:7" s="1" customFormat="1" ht="15" customHeight="1" x14ac:dyDescent="0.2">
      <c r="B17" s="103" t="s">
        <v>153</v>
      </c>
      <c r="C17" s="111">
        <v>1.4</v>
      </c>
      <c r="D17" s="89">
        <f t="shared" ref="D17:D19" si="1">+$D$4*C17</f>
        <v>76385.763999999996</v>
      </c>
      <c r="F17" s="45" t="s">
        <v>138</v>
      </c>
      <c r="G17" s="128">
        <v>0.25</v>
      </c>
    </row>
    <row r="18" spans="2:7" s="1" customFormat="1" ht="15" customHeight="1" x14ac:dyDescent="0.2">
      <c r="B18" s="103" t="s">
        <v>154</v>
      </c>
      <c r="C18" s="88">
        <v>1.5</v>
      </c>
      <c r="D18" s="89">
        <f t="shared" si="1"/>
        <v>81841.89</v>
      </c>
      <c r="F18" s="1" t="s">
        <v>224</v>
      </c>
      <c r="G18" s="221">
        <v>0.12</v>
      </c>
    </row>
    <row r="19" spans="2:7" s="1" customFormat="1" ht="15" customHeight="1" x14ac:dyDescent="0.2">
      <c r="B19" s="103" t="s">
        <v>155</v>
      </c>
      <c r="C19" s="112">
        <v>1.7</v>
      </c>
      <c r="D19" s="89">
        <f t="shared" si="1"/>
        <v>92754.142000000007</v>
      </c>
    </row>
    <row r="20" spans="2:7" s="1" customFormat="1" ht="14.45" customHeight="1" x14ac:dyDescent="0.2">
      <c r="B20" s="98"/>
      <c r="C20" s="113"/>
      <c r="D20" s="86"/>
    </row>
    <row r="21" spans="2:7" s="1" customFormat="1" ht="15.75" x14ac:dyDescent="0.2">
      <c r="B21" s="463" t="s">
        <v>9</v>
      </c>
      <c r="C21" s="464"/>
      <c r="D21" s="464"/>
    </row>
    <row r="22" spans="2:7" s="1" customFormat="1" ht="15" customHeight="1" x14ac:dyDescent="0.2">
      <c r="B22" s="84"/>
      <c r="C22" s="114"/>
      <c r="D22" s="114"/>
    </row>
    <row r="23" spans="2:7" s="1" customFormat="1" ht="15" customHeight="1" x14ac:dyDescent="0.25">
      <c r="B23" s="84" t="s">
        <v>10</v>
      </c>
      <c r="C23" s="85"/>
      <c r="D23" s="86"/>
    </row>
    <row r="24" spans="2:7" s="1" customFormat="1" ht="15" customHeight="1" x14ac:dyDescent="0.2">
      <c r="B24" s="87" t="s">
        <v>156</v>
      </c>
      <c r="C24" s="88">
        <v>1.4</v>
      </c>
      <c r="D24" s="89">
        <f t="shared" ref="D24:D26" si="2">+$D$4*C24</f>
        <v>76385.763999999996</v>
      </c>
    </row>
    <row r="25" spans="2:7" s="1" customFormat="1" ht="11.45" customHeight="1" x14ac:dyDescent="0.2">
      <c r="B25" s="90" t="s">
        <v>157</v>
      </c>
      <c r="C25" s="88">
        <v>1.5</v>
      </c>
      <c r="D25" s="89">
        <f t="shared" si="2"/>
        <v>81841.89</v>
      </c>
    </row>
    <row r="26" spans="2:7" s="1" customFormat="1" ht="14.45" customHeight="1" x14ac:dyDescent="0.2">
      <c r="B26" s="91" t="s">
        <v>158</v>
      </c>
      <c r="C26" s="88">
        <v>1.7</v>
      </c>
      <c r="D26" s="89">
        <f t="shared" si="2"/>
        <v>92754.142000000007</v>
      </c>
    </row>
    <row r="27" spans="2:7" s="1" customFormat="1" ht="15" customHeight="1" x14ac:dyDescent="0.2">
      <c r="B27" s="92"/>
      <c r="C27" s="93"/>
      <c r="D27" s="94"/>
    </row>
    <row r="28" spans="2:7" s="1" customFormat="1" ht="15" customHeight="1" x14ac:dyDescent="0.2">
      <c r="B28" s="84" t="s">
        <v>11</v>
      </c>
      <c r="C28" s="95"/>
      <c r="D28" s="89"/>
    </row>
    <row r="29" spans="2:7" s="1" customFormat="1" ht="15" customHeight="1" x14ac:dyDescent="0.2">
      <c r="B29" s="96" t="s">
        <v>12</v>
      </c>
      <c r="C29" s="88">
        <v>0.9</v>
      </c>
      <c r="D29" s="89">
        <f t="shared" ref="D28:D38" si="3">+$D$4*C29</f>
        <v>49105.134000000005</v>
      </c>
    </row>
    <row r="30" spans="2:7" s="1" customFormat="1" ht="15" customHeight="1" x14ac:dyDescent="0.2">
      <c r="B30" s="96" t="s">
        <v>13</v>
      </c>
      <c r="C30" s="88">
        <v>1.3</v>
      </c>
      <c r="D30" s="89">
        <f t="shared" si="3"/>
        <v>70929.638000000006</v>
      </c>
    </row>
    <row r="31" spans="2:7" s="1" customFormat="1" ht="30" customHeight="1" x14ac:dyDescent="0.2">
      <c r="B31" s="96" t="s">
        <v>14</v>
      </c>
      <c r="C31" s="88">
        <v>1.35</v>
      </c>
      <c r="D31" s="89">
        <f t="shared" si="3"/>
        <v>73657.701000000001</v>
      </c>
    </row>
    <row r="32" spans="2:7" s="1" customFormat="1" ht="30" customHeight="1" x14ac:dyDescent="0.2">
      <c r="B32" s="96" t="s">
        <v>15</v>
      </c>
      <c r="C32" s="88">
        <v>1.4</v>
      </c>
      <c r="D32" s="89">
        <f t="shared" si="3"/>
        <v>76385.763999999996</v>
      </c>
    </row>
    <row r="33" spans="2:174" s="1" customFormat="1" ht="30" customHeight="1" x14ac:dyDescent="0.2">
      <c r="B33" s="96" t="s">
        <v>159</v>
      </c>
      <c r="C33" s="88">
        <v>1</v>
      </c>
      <c r="D33" s="89">
        <f t="shared" si="3"/>
        <v>54561.26</v>
      </c>
    </row>
    <row r="34" spans="2:174" s="11" customFormat="1" ht="18" customHeight="1" x14ac:dyDescent="0.2">
      <c r="B34" s="96" t="s">
        <v>16</v>
      </c>
      <c r="C34" s="88">
        <v>1.7</v>
      </c>
      <c r="D34" s="89">
        <f t="shared" si="3"/>
        <v>92754.142000000007</v>
      </c>
    </row>
    <row r="35" spans="2:174" s="11" customFormat="1" ht="17.25" customHeight="1" x14ac:dyDescent="0.2">
      <c r="B35" s="96" t="s">
        <v>17</v>
      </c>
      <c r="C35" s="88">
        <v>2</v>
      </c>
      <c r="D35" s="89">
        <f t="shared" si="3"/>
        <v>109122.52</v>
      </c>
    </row>
    <row r="36" spans="2:174" s="11" customFormat="1" ht="15" customHeight="1" x14ac:dyDescent="0.2">
      <c r="B36" s="96" t="s">
        <v>18</v>
      </c>
      <c r="C36" s="97">
        <v>0.2</v>
      </c>
      <c r="D36" s="89">
        <f t="shared" si="3"/>
        <v>10912.252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2:174" s="11" customFormat="1" ht="15" customHeight="1" x14ac:dyDescent="0.2">
      <c r="B37" s="96" t="s">
        <v>19</v>
      </c>
      <c r="C37" s="97">
        <v>0.4</v>
      </c>
      <c r="D37" s="89">
        <f t="shared" si="3"/>
        <v>21824.504000000001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2:174" s="16" customFormat="1" ht="15" customHeight="1" x14ac:dyDescent="0.2">
      <c r="B38" s="96" t="s">
        <v>20</v>
      </c>
      <c r="C38" s="97">
        <v>1.5</v>
      </c>
      <c r="D38" s="89">
        <f t="shared" si="3"/>
        <v>81841.89</v>
      </c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/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384"/>
      <c r="EK38" s="384"/>
      <c r="EL38" s="384"/>
      <c r="EM38" s="384"/>
      <c r="EN38" s="384"/>
      <c r="EO38" s="384"/>
      <c r="EP38" s="384"/>
      <c r="EQ38" s="384"/>
      <c r="ER38" s="384"/>
      <c r="ES38" s="384"/>
      <c r="ET38" s="384"/>
      <c r="EU38" s="384"/>
      <c r="EV38" s="384"/>
      <c r="EW38" s="384"/>
      <c r="EX38" s="384"/>
      <c r="EY38" s="384"/>
      <c r="EZ38" s="384"/>
      <c r="FA38" s="384"/>
      <c r="FB38" s="384"/>
      <c r="FC38" s="384"/>
      <c r="FD38" s="384"/>
      <c r="FE38" s="384"/>
      <c r="FF38" s="384"/>
      <c r="FG38" s="384"/>
      <c r="FH38" s="384"/>
      <c r="FI38" s="384"/>
      <c r="FJ38" s="384"/>
      <c r="FK38" s="384"/>
      <c r="FL38" s="384"/>
      <c r="FM38" s="384"/>
      <c r="FN38" s="384"/>
      <c r="FO38" s="384"/>
      <c r="FP38" s="384"/>
      <c r="FQ38" s="384"/>
      <c r="FR38" s="384"/>
    </row>
    <row r="39" spans="2:174" s="49" customFormat="1" ht="15.6" customHeight="1" x14ac:dyDescent="0.2">
      <c r="B39" s="98"/>
      <c r="C39" s="99"/>
      <c r="D39" s="10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</row>
    <row r="40" spans="2:174" s="49" customFormat="1" ht="30" customHeight="1" x14ac:dyDescent="0.2">
      <c r="B40" s="463" t="s">
        <v>21</v>
      </c>
      <c r="C40" s="464"/>
      <c r="D40" s="46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</row>
    <row r="41" spans="2:174" s="49" customFormat="1" ht="30" customHeight="1" x14ac:dyDescent="0.2">
      <c r="B41" s="101" t="s">
        <v>160</v>
      </c>
      <c r="C41" s="102">
        <v>0.3</v>
      </c>
      <c r="D41" s="89">
        <f t="shared" ref="D41:D49" si="4">+$D$4*C41</f>
        <v>16368.378000000001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</row>
    <row r="42" spans="2:174" s="16" customFormat="1" ht="30" customHeight="1" x14ac:dyDescent="0.2">
      <c r="B42" s="103" t="s">
        <v>161</v>
      </c>
      <c r="C42" s="104">
        <v>0.4</v>
      </c>
      <c r="D42" s="89">
        <f t="shared" si="4"/>
        <v>21824.504000000001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 x14ac:dyDescent="0.2">
      <c r="B43" s="103" t="s">
        <v>162</v>
      </c>
      <c r="C43" s="104">
        <v>0.6</v>
      </c>
      <c r="D43" s="89">
        <f t="shared" si="4"/>
        <v>32736.756000000001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 x14ac:dyDescent="0.2">
      <c r="B44" s="103" t="s">
        <v>163</v>
      </c>
      <c r="C44" s="105">
        <v>0.4</v>
      </c>
      <c r="D44" s="89">
        <f t="shared" si="4"/>
        <v>21824.504000000001</v>
      </c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1"/>
      <c r="EL44" s="341"/>
      <c r="EM44" s="341"/>
      <c r="EN44" s="341"/>
      <c r="EO44" s="341"/>
      <c r="EP44" s="341"/>
      <c r="EQ44" s="341"/>
      <c r="ER44" s="341"/>
      <c r="ES44" s="341"/>
      <c r="ET44" s="341"/>
      <c r="EU44" s="341"/>
      <c r="EV44" s="341"/>
      <c r="EW44" s="341"/>
      <c r="EX44" s="341"/>
      <c r="EY44" s="341"/>
      <c r="EZ44" s="341"/>
      <c r="FA44" s="341"/>
      <c r="FB44" s="341"/>
      <c r="FC44" s="341"/>
      <c r="FD44" s="341"/>
      <c r="FE44" s="341"/>
      <c r="FF44" s="341"/>
      <c r="FG44" s="341"/>
      <c r="FH44" s="341"/>
      <c r="FI44" s="341"/>
      <c r="FJ44" s="341"/>
      <c r="FK44" s="341"/>
      <c r="FL44" s="341"/>
      <c r="FM44" s="341"/>
      <c r="FN44" s="341"/>
      <c r="FO44" s="341"/>
      <c r="FP44" s="341"/>
      <c r="FQ44" s="341"/>
      <c r="FR44" s="9"/>
    </row>
    <row r="45" spans="2:174" s="19" customFormat="1" ht="34.9" customHeight="1" x14ac:dyDescent="0.2">
      <c r="B45" s="103" t="s">
        <v>164</v>
      </c>
      <c r="C45" s="105">
        <v>0.5</v>
      </c>
      <c r="D45" s="89">
        <f t="shared" si="4"/>
        <v>27280.63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174" s="19" customFormat="1" ht="27" customHeight="1" x14ac:dyDescent="0.2">
      <c r="B46" s="103" t="s">
        <v>165</v>
      </c>
      <c r="C46" s="104">
        <v>0.55000000000000004</v>
      </c>
      <c r="D46" s="89">
        <f t="shared" si="4"/>
        <v>30008.693000000003</v>
      </c>
    </row>
    <row r="47" spans="2:174" s="19" customFormat="1" ht="30" customHeight="1" x14ac:dyDescent="0.2">
      <c r="B47" s="103" t="s">
        <v>166</v>
      </c>
      <c r="C47" s="104">
        <v>0.6</v>
      </c>
      <c r="D47" s="89">
        <f t="shared" si="4"/>
        <v>32736.756000000001</v>
      </c>
    </row>
    <row r="48" spans="2:174" s="19" customFormat="1" ht="27.75" customHeight="1" x14ac:dyDescent="0.2">
      <c r="B48" s="103" t="s">
        <v>167</v>
      </c>
      <c r="C48" s="104">
        <v>0.65</v>
      </c>
      <c r="D48" s="89">
        <f t="shared" si="4"/>
        <v>35464.819000000003</v>
      </c>
    </row>
    <row r="49" spans="2:4" s="19" customFormat="1" ht="30.75" customHeight="1" x14ac:dyDescent="0.2">
      <c r="B49" s="103" t="s">
        <v>168</v>
      </c>
      <c r="C49" s="104">
        <v>0.7</v>
      </c>
      <c r="D49" s="89">
        <f t="shared" si="4"/>
        <v>38192.881999999998</v>
      </c>
    </row>
    <row r="50" spans="2:4" s="19" customFormat="1" ht="30" customHeight="1" x14ac:dyDescent="0.2">
      <c r="B50" s="77"/>
      <c r="C50" s="17"/>
      <c r="D50" s="51"/>
    </row>
    <row r="51" spans="2:4" s="19" customFormat="1" ht="30" customHeight="1" x14ac:dyDescent="0.2">
      <c r="B51" s="63" t="s">
        <v>22</v>
      </c>
      <c r="C51" s="64"/>
      <c r="D51" s="65"/>
    </row>
    <row r="52" spans="2:4" s="19" customFormat="1" ht="18" customHeight="1" x14ac:dyDescent="0.2">
      <c r="B52" s="39" t="s">
        <v>23</v>
      </c>
      <c r="C52" s="50">
        <v>1.2</v>
      </c>
      <c r="D52" s="52">
        <f t="shared" ref="D52:D60" si="5">+$D$4*C52</f>
        <v>65473.512000000002</v>
      </c>
    </row>
    <row r="53" spans="2:4" s="16" customFormat="1" ht="15" customHeight="1" x14ac:dyDescent="0.2">
      <c r="B53" s="38" t="s">
        <v>169</v>
      </c>
      <c r="C53" s="17">
        <v>1.2</v>
      </c>
      <c r="D53" s="13">
        <f t="shared" si="5"/>
        <v>65473.512000000002</v>
      </c>
    </row>
    <row r="54" spans="2:4" s="11" customFormat="1" ht="15" customHeight="1" x14ac:dyDescent="0.2">
      <c r="B54" s="38" t="s">
        <v>24</v>
      </c>
      <c r="C54" s="17">
        <v>1.4</v>
      </c>
      <c r="D54" s="13">
        <f t="shared" si="5"/>
        <v>76385.763999999996</v>
      </c>
    </row>
    <row r="55" spans="2:4" s="11" customFormat="1" ht="15" customHeight="1" x14ac:dyDescent="0.2">
      <c r="B55" s="66" t="s">
        <v>25</v>
      </c>
      <c r="C55" s="17">
        <v>1</v>
      </c>
      <c r="D55" s="13">
        <f t="shared" si="5"/>
        <v>54561.26</v>
      </c>
    </row>
    <row r="56" spans="2:4" s="11" customFormat="1" ht="15" customHeight="1" x14ac:dyDescent="0.2">
      <c r="B56" s="38" t="s">
        <v>26</v>
      </c>
      <c r="C56" s="17">
        <v>1.4</v>
      </c>
      <c r="D56" s="13">
        <f t="shared" si="5"/>
        <v>76385.763999999996</v>
      </c>
    </row>
    <row r="57" spans="2:4" s="1" customFormat="1" ht="15" customHeight="1" x14ac:dyDescent="0.2">
      <c r="B57" s="38" t="s">
        <v>27</v>
      </c>
      <c r="C57" s="17">
        <v>1</v>
      </c>
      <c r="D57" s="13">
        <f t="shared" si="5"/>
        <v>54561.26</v>
      </c>
    </row>
    <row r="58" spans="2:4" s="1" customFormat="1" ht="15" x14ac:dyDescent="0.2">
      <c r="B58" s="38" t="s">
        <v>28</v>
      </c>
      <c r="C58" s="17">
        <v>0.6</v>
      </c>
      <c r="D58" s="13">
        <f t="shared" si="5"/>
        <v>32736.756000000001</v>
      </c>
    </row>
    <row r="59" spans="2:4" s="1" customFormat="1" ht="15.6" customHeight="1" x14ac:dyDescent="0.2">
      <c r="B59" s="38" t="s">
        <v>29</v>
      </c>
      <c r="C59" s="17">
        <v>0.6</v>
      </c>
      <c r="D59" s="13">
        <f t="shared" si="5"/>
        <v>32736.756000000001</v>
      </c>
    </row>
    <row r="60" spans="2:4" s="16" customFormat="1" ht="15" customHeight="1" x14ac:dyDescent="0.2">
      <c r="B60" s="38" t="s">
        <v>30</v>
      </c>
      <c r="C60" s="20">
        <v>0.6</v>
      </c>
      <c r="D60" s="13">
        <f t="shared" si="5"/>
        <v>32736.756000000001</v>
      </c>
    </row>
    <row r="61" spans="2:4" s="16" customFormat="1" ht="15" customHeight="1" x14ac:dyDescent="0.2">
      <c r="B61" s="21"/>
      <c r="C61" s="10"/>
      <c r="D61" s="22"/>
    </row>
    <row r="62" spans="2:4" s="16" customFormat="1" ht="15.75" x14ac:dyDescent="0.2">
      <c r="B62" s="78" t="s">
        <v>31</v>
      </c>
      <c r="C62" s="79"/>
      <c r="D62" s="80"/>
    </row>
    <row r="63" spans="2:4" s="16" customFormat="1" ht="15" x14ac:dyDescent="0.2">
      <c r="B63" s="40" t="s">
        <v>32</v>
      </c>
      <c r="C63" s="14">
        <v>1.3</v>
      </c>
      <c r="D63" s="13">
        <f t="shared" ref="D63:D65" si="6">+$D$4*C63</f>
        <v>70929.638000000006</v>
      </c>
    </row>
    <row r="64" spans="2:4" s="16" customFormat="1" ht="15" x14ac:dyDescent="0.2">
      <c r="B64" s="40" t="s">
        <v>33</v>
      </c>
      <c r="C64" s="14">
        <v>1.6</v>
      </c>
      <c r="D64" s="13">
        <f t="shared" si="6"/>
        <v>87298.016000000003</v>
      </c>
    </row>
    <row r="65" spans="1:54" s="16" customFormat="1" ht="15" x14ac:dyDescent="0.2">
      <c r="B65" s="40" t="s">
        <v>34</v>
      </c>
      <c r="C65" s="5">
        <v>1.8</v>
      </c>
      <c r="D65" s="13">
        <f t="shared" si="6"/>
        <v>98210.268000000011</v>
      </c>
    </row>
    <row r="66" spans="1:54" s="1" customFormat="1" ht="15" x14ac:dyDescent="0.2">
      <c r="B66" s="6"/>
      <c r="C66" s="7"/>
      <c r="D66" s="15"/>
    </row>
    <row r="67" spans="1:54" s="1" customFormat="1" ht="15.75" x14ac:dyDescent="0.2">
      <c r="B67" s="78" t="s">
        <v>35</v>
      </c>
      <c r="C67" s="79"/>
      <c r="D67" s="80"/>
    </row>
    <row r="68" spans="1:54" s="1" customFormat="1" ht="15" customHeight="1" x14ac:dyDescent="0.2">
      <c r="B68" s="38" t="s">
        <v>36</v>
      </c>
      <c r="C68" s="23">
        <v>1.6</v>
      </c>
      <c r="D68" s="13">
        <f t="shared" ref="D68:D86" si="7">+$D$4*C68</f>
        <v>87298.016000000003</v>
      </c>
    </row>
    <row r="69" spans="1:54" s="1" customFormat="1" ht="15" customHeight="1" x14ac:dyDescent="0.2">
      <c r="B69" s="38" t="s">
        <v>37</v>
      </c>
      <c r="C69" s="23">
        <v>1.6</v>
      </c>
      <c r="D69" s="13">
        <f t="shared" si="7"/>
        <v>87298.016000000003</v>
      </c>
    </row>
    <row r="70" spans="1:54" s="1" customFormat="1" ht="15" x14ac:dyDescent="0.2">
      <c r="B70" s="38" t="s">
        <v>38</v>
      </c>
      <c r="C70" s="23">
        <v>1.6</v>
      </c>
      <c r="D70" s="13">
        <f t="shared" si="7"/>
        <v>87298.016000000003</v>
      </c>
    </row>
    <row r="71" spans="1:54" s="1" customFormat="1" ht="15" customHeight="1" x14ac:dyDescent="0.2">
      <c r="B71" s="38" t="s">
        <v>39</v>
      </c>
      <c r="C71" s="23">
        <v>1.6</v>
      </c>
      <c r="D71" s="13">
        <f t="shared" si="7"/>
        <v>87298.016000000003</v>
      </c>
    </row>
    <row r="72" spans="1:54" s="1" customFormat="1" ht="15" customHeight="1" x14ac:dyDescent="0.2">
      <c r="B72" s="38" t="s">
        <v>40</v>
      </c>
      <c r="C72" s="23">
        <v>1.8</v>
      </c>
      <c r="D72" s="13">
        <f t="shared" si="7"/>
        <v>98210.268000000011</v>
      </c>
    </row>
    <row r="73" spans="1:54" s="1" customFormat="1" ht="15" customHeight="1" x14ac:dyDescent="0.2">
      <c r="B73" s="38" t="s">
        <v>41</v>
      </c>
      <c r="C73" s="23">
        <v>1.8</v>
      </c>
      <c r="D73" s="13">
        <f t="shared" si="7"/>
        <v>98210.268000000011</v>
      </c>
    </row>
    <row r="74" spans="1:54" s="1" customFormat="1" ht="15" x14ac:dyDescent="0.2">
      <c r="B74" s="38" t="s">
        <v>42</v>
      </c>
      <c r="C74" s="23">
        <v>1.8</v>
      </c>
      <c r="D74" s="13">
        <f t="shared" si="7"/>
        <v>98210.268000000011</v>
      </c>
    </row>
    <row r="75" spans="1:54" ht="15" x14ac:dyDescent="0.2">
      <c r="B75" s="38" t="s">
        <v>43</v>
      </c>
      <c r="C75" s="23">
        <v>1.5</v>
      </c>
      <c r="D75" s="13">
        <f t="shared" si="7"/>
        <v>81841.89</v>
      </c>
    </row>
    <row r="76" spans="1:54" s="16" customFormat="1" ht="15" customHeight="1" x14ac:dyDescent="0.2">
      <c r="B76" s="39" t="s">
        <v>44</v>
      </c>
      <c r="C76" s="23">
        <v>2</v>
      </c>
      <c r="D76" s="13">
        <f t="shared" si="7"/>
        <v>109122.52</v>
      </c>
    </row>
    <row r="77" spans="1:54" s="16" customFormat="1" ht="15" customHeight="1" x14ac:dyDescent="0.2">
      <c r="B77" s="38" t="s">
        <v>45</v>
      </c>
      <c r="C77" s="23">
        <v>0.8</v>
      </c>
      <c r="D77" s="13">
        <f t="shared" si="7"/>
        <v>43649.008000000002</v>
      </c>
    </row>
    <row r="78" spans="1:54" s="1" customFormat="1" ht="15" x14ac:dyDescent="0.2">
      <c r="B78" s="38" t="s">
        <v>46</v>
      </c>
      <c r="C78" s="23">
        <v>1.2</v>
      </c>
      <c r="D78" s="13">
        <f t="shared" si="7"/>
        <v>65473.512000000002</v>
      </c>
    </row>
    <row r="79" spans="1:54" s="27" customFormat="1" ht="15.6" customHeight="1" x14ac:dyDescent="0.2">
      <c r="A79" s="56"/>
      <c r="B79" s="38" t="s">
        <v>47</v>
      </c>
      <c r="C79" s="23">
        <v>1.7</v>
      </c>
      <c r="D79" s="13">
        <f t="shared" si="7"/>
        <v>92754.142000000007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1" customFormat="1" ht="15" customHeight="1" x14ac:dyDescent="0.2">
      <c r="B80" s="38" t="s">
        <v>48</v>
      </c>
      <c r="C80" s="23">
        <v>1.7</v>
      </c>
      <c r="D80" s="13">
        <f t="shared" si="7"/>
        <v>92754.142000000007</v>
      </c>
    </row>
    <row r="81" spans="2:174" s="1" customFormat="1" ht="15" customHeight="1" x14ac:dyDescent="0.2">
      <c r="B81" s="35" t="s">
        <v>49</v>
      </c>
      <c r="C81" s="23">
        <v>1.7</v>
      </c>
      <c r="D81" s="13">
        <f t="shared" si="7"/>
        <v>92754.142000000007</v>
      </c>
    </row>
    <row r="82" spans="2:174" s="1" customFormat="1" ht="15" customHeight="1" x14ac:dyDescent="0.2">
      <c r="B82" s="35" t="s">
        <v>50</v>
      </c>
      <c r="C82" s="23">
        <v>1.7</v>
      </c>
      <c r="D82" s="13">
        <f t="shared" si="7"/>
        <v>92754.142000000007</v>
      </c>
    </row>
    <row r="83" spans="2:174" s="1" customFormat="1" ht="15" customHeight="1" x14ac:dyDescent="0.2">
      <c r="B83" s="35" t="s">
        <v>51</v>
      </c>
      <c r="C83" s="23">
        <v>1.7</v>
      </c>
      <c r="D83" s="13">
        <f t="shared" si="7"/>
        <v>92754.142000000007</v>
      </c>
    </row>
    <row r="84" spans="2:174" s="1" customFormat="1" ht="15" customHeight="1" x14ac:dyDescent="0.2">
      <c r="B84" s="35" t="s">
        <v>52</v>
      </c>
      <c r="C84" s="23">
        <v>1</v>
      </c>
      <c r="D84" s="13">
        <f t="shared" si="7"/>
        <v>54561.26</v>
      </c>
    </row>
    <row r="85" spans="2:174" s="1" customFormat="1" ht="15" customHeight="1" x14ac:dyDescent="0.2">
      <c r="B85" s="35" t="s">
        <v>49</v>
      </c>
      <c r="C85" s="23">
        <v>1.8</v>
      </c>
      <c r="D85" s="13">
        <f t="shared" si="7"/>
        <v>98210.268000000011</v>
      </c>
    </row>
    <row r="86" spans="2:174" s="1" customFormat="1" ht="15" customHeight="1" x14ac:dyDescent="0.2">
      <c r="B86" s="35" t="s">
        <v>109</v>
      </c>
      <c r="C86" s="23">
        <v>2</v>
      </c>
      <c r="D86" s="13">
        <f t="shared" si="7"/>
        <v>109122.52</v>
      </c>
    </row>
    <row r="87" spans="2:174" s="1" customFormat="1" ht="15" customHeight="1" x14ac:dyDescent="0.2">
      <c r="B87" s="21"/>
      <c r="C87" s="24"/>
      <c r="D87" s="25"/>
    </row>
    <row r="88" spans="2:174" s="16" customFormat="1" ht="15.75" x14ac:dyDescent="0.2">
      <c r="B88" s="78" t="s">
        <v>53</v>
      </c>
      <c r="C88" s="79"/>
      <c r="D88" s="80"/>
    </row>
    <row r="89" spans="2:174" s="16" customFormat="1" ht="15.75" x14ac:dyDescent="0.2">
      <c r="B89" s="38" t="s">
        <v>54</v>
      </c>
      <c r="C89" s="23">
        <v>1.6</v>
      </c>
      <c r="D89" s="13">
        <f t="shared" ref="D89:D90" si="8">+$D$4*C89</f>
        <v>87298.016000000003</v>
      </c>
      <c r="E89" s="46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  <c r="AZ89" s="342"/>
      <c r="BA89" s="342"/>
      <c r="BB89" s="342"/>
      <c r="BC89" s="342"/>
      <c r="BD89" s="342"/>
      <c r="BE89" s="342"/>
      <c r="BF89" s="342"/>
      <c r="BG89" s="342"/>
      <c r="BH89" s="342"/>
      <c r="BI89" s="342"/>
      <c r="BJ89" s="342"/>
      <c r="BK89" s="342"/>
      <c r="BL89" s="342"/>
      <c r="BM89" s="342"/>
      <c r="BN89" s="342"/>
      <c r="BO89" s="342"/>
      <c r="BP89" s="342"/>
      <c r="BQ89" s="342"/>
      <c r="BR89" s="342"/>
      <c r="BS89" s="342"/>
      <c r="BT89" s="342"/>
      <c r="BU89" s="342"/>
      <c r="BV89" s="342"/>
      <c r="BW89" s="342"/>
      <c r="BX89" s="342"/>
      <c r="BY89" s="342"/>
      <c r="BZ89" s="342"/>
      <c r="CA89" s="342"/>
      <c r="CB89" s="342"/>
      <c r="CC89" s="342"/>
      <c r="CD89" s="342"/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42"/>
      <c r="CQ89" s="342"/>
      <c r="CR89" s="342"/>
      <c r="CS89" s="342"/>
      <c r="CT89" s="342"/>
      <c r="CU89" s="342"/>
      <c r="CV89" s="342"/>
      <c r="CW89" s="342"/>
      <c r="CX89" s="342"/>
      <c r="CY89" s="342"/>
      <c r="CZ89" s="342"/>
      <c r="DA89" s="342"/>
      <c r="DB89" s="342"/>
      <c r="DC89" s="342"/>
      <c r="DD89" s="342"/>
      <c r="DE89" s="342"/>
      <c r="DF89" s="342"/>
      <c r="DG89" s="342"/>
      <c r="DH89" s="342"/>
      <c r="DI89" s="342"/>
      <c r="DJ89" s="342"/>
      <c r="DK89" s="342"/>
      <c r="DL89" s="342"/>
      <c r="DM89" s="342"/>
      <c r="DN89" s="342"/>
      <c r="DO89" s="342"/>
      <c r="DP89" s="342"/>
      <c r="DQ89" s="342"/>
      <c r="DR89" s="342"/>
      <c r="DS89" s="342"/>
      <c r="DT89" s="342"/>
      <c r="DU89" s="342"/>
      <c r="DV89" s="342"/>
      <c r="DW89" s="342"/>
      <c r="DX89" s="342"/>
      <c r="DY89" s="342"/>
      <c r="DZ89" s="342"/>
      <c r="EA89" s="342"/>
      <c r="EB89" s="342"/>
      <c r="EC89" s="342"/>
      <c r="ED89" s="342"/>
      <c r="EE89" s="342"/>
      <c r="EF89" s="342"/>
      <c r="EG89" s="342"/>
      <c r="EH89" s="342"/>
      <c r="EI89" s="342"/>
      <c r="EJ89" s="342"/>
      <c r="EK89" s="342"/>
      <c r="EL89" s="342"/>
      <c r="EM89" s="342"/>
      <c r="EN89" s="342"/>
      <c r="EO89" s="342"/>
      <c r="EP89" s="342"/>
      <c r="EQ89" s="342"/>
      <c r="ER89" s="342"/>
      <c r="ES89" s="342"/>
      <c r="ET89" s="342"/>
      <c r="EU89" s="342"/>
      <c r="EV89" s="342"/>
      <c r="EW89" s="342"/>
      <c r="EX89" s="342"/>
      <c r="EY89" s="342"/>
      <c r="EZ89" s="342"/>
      <c r="FA89" s="342"/>
      <c r="FB89" s="342"/>
      <c r="FC89" s="342"/>
      <c r="FD89" s="342"/>
      <c r="FE89" s="342"/>
      <c r="FF89" s="342"/>
      <c r="FG89" s="342"/>
      <c r="FH89" s="342"/>
      <c r="FI89" s="342"/>
      <c r="FJ89" s="342"/>
      <c r="FK89" s="342"/>
      <c r="FL89" s="342"/>
      <c r="FM89" s="342"/>
      <c r="FN89" s="342"/>
      <c r="FO89" s="342"/>
      <c r="FP89" s="342"/>
      <c r="FQ89" s="342"/>
      <c r="FR89" s="342"/>
    </row>
    <row r="90" spans="2:174" s="16" customFormat="1" ht="15" customHeight="1" x14ac:dyDescent="0.2">
      <c r="B90" s="38" t="s">
        <v>55</v>
      </c>
      <c r="C90" s="23">
        <v>2</v>
      </c>
      <c r="D90" s="13">
        <f t="shared" si="8"/>
        <v>109122.52</v>
      </c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  <c r="AQ90" s="341"/>
      <c r="AR90" s="341"/>
      <c r="AS90" s="341"/>
      <c r="AT90" s="341"/>
      <c r="AU90" s="341"/>
      <c r="AV90" s="341"/>
      <c r="AW90" s="341"/>
      <c r="AX90" s="341"/>
      <c r="AY90" s="341"/>
      <c r="AZ90" s="341"/>
      <c r="BA90" s="341"/>
      <c r="BB90" s="341"/>
      <c r="BC90" s="341"/>
      <c r="BD90" s="341"/>
      <c r="BE90" s="341"/>
      <c r="BF90" s="341"/>
      <c r="BG90" s="341"/>
      <c r="BH90" s="341"/>
      <c r="BI90" s="341"/>
      <c r="BJ90" s="341"/>
      <c r="BK90" s="341"/>
      <c r="BL90" s="341"/>
      <c r="BM90" s="341"/>
      <c r="BN90" s="341"/>
      <c r="BO90" s="341"/>
      <c r="BP90" s="341"/>
      <c r="BQ90" s="341"/>
      <c r="BR90" s="341"/>
      <c r="BS90" s="341"/>
      <c r="BT90" s="341"/>
      <c r="BU90" s="341"/>
      <c r="BV90" s="341"/>
      <c r="BW90" s="341"/>
      <c r="BX90" s="341"/>
      <c r="BY90" s="341"/>
      <c r="BZ90" s="341"/>
      <c r="CA90" s="341"/>
      <c r="CB90" s="341"/>
      <c r="CC90" s="341"/>
      <c r="CD90" s="341"/>
      <c r="CE90" s="341"/>
      <c r="CF90" s="341"/>
      <c r="CG90" s="341"/>
      <c r="CH90" s="341"/>
      <c r="CI90" s="341"/>
      <c r="CJ90" s="341"/>
      <c r="CK90" s="341"/>
      <c r="CL90" s="341"/>
      <c r="CM90" s="341"/>
      <c r="CN90" s="341"/>
      <c r="CO90" s="341"/>
      <c r="CP90" s="341"/>
      <c r="CQ90" s="341"/>
      <c r="CR90" s="341"/>
      <c r="CS90" s="341"/>
      <c r="CT90" s="341"/>
      <c r="CU90" s="341"/>
      <c r="CV90" s="341"/>
      <c r="CW90" s="341"/>
      <c r="CX90" s="341"/>
      <c r="CY90" s="341"/>
      <c r="CZ90" s="341"/>
      <c r="DA90" s="341"/>
      <c r="DB90" s="341"/>
      <c r="DC90" s="341"/>
      <c r="DD90" s="341"/>
      <c r="DE90" s="341"/>
      <c r="DF90" s="341"/>
      <c r="DG90" s="341"/>
      <c r="DH90" s="341"/>
      <c r="DI90" s="341"/>
      <c r="DJ90" s="341"/>
      <c r="DK90" s="341"/>
      <c r="DL90" s="341"/>
      <c r="DM90" s="341"/>
      <c r="DN90" s="341"/>
      <c r="DO90" s="341"/>
      <c r="DP90" s="341"/>
      <c r="DQ90" s="341"/>
      <c r="DR90" s="341"/>
      <c r="DS90" s="341"/>
      <c r="DT90" s="341"/>
      <c r="DU90" s="341"/>
      <c r="DV90" s="341"/>
      <c r="DW90" s="341"/>
      <c r="DX90" s="341"/>
      <c r="DY90" s="341"/>
      <c r="DZ90" s="341"/>
      <c r="EA90" s="341"/>
      <c r="EB90" s="341"/>
      <c r="EC90" s="341"/>
      <c r="ED90" s="341"/>
      <c r="EE90" s="341"/>
      <c r="EF90" s="341"/>
      <c r="EG90" s="341"/>
      <c r="EH90" s="341"/>
      <c r="EI90" s="341"/>
      <c r="EJ90" s="341"/>
      <c r="EK90" s="341"/>
      <c r="EL90" s="341"/>
      <c r="EM90" s="341"/>
      <c r="EN90" s="341"/>
      <c r="EO90" s="341"/>
      <c r="EP90" s="341"/>
      <c r="EQ90" s="341"/>
      <c r="ER90" s="341"/>
      <c r="ES90" s="341"/>
      <c r="ET90" s="341"/>
      <c r="EU90" s="341"/>
      <c r="EV90" s="341"/>
      <c r="EW90" s="341"/>
      <c r="EX90" s="341"/>
      <c r="EY90" s="341"/>
      <c r="EZ90" s="341"/>
      <c r="FA90" s="341"/>
      <c r="FB90" s="341"/>
      <c r="FC90" s="341"/>
      <c r="FD90" s="341"/>
      <c r="FE90" s="341"/>
      <c r="FF90" s="341"/>
      <c r="FG90" s="341"/>
      <c r="FH90" s="341"/>
      <c r="FI90" s="341"/>
      <c r="FJ90" s="341"/>
      <c r="FK90" s="341"/>
      <c r="FL90" s="341"/>
      <c r="FM90" s="341"/>
      <c r="FN90" s="341"/>
      <c r="FO90" s="341"/>
      <c r="FP90" s="341"/>
      <c r="FQ90" s="341"/>
      <c r="FR90" s="9"/>
    </row>
    <row r="91" spans="2:174" s="16" customFormat="1" ht="15" customHeight="1" x14ac:dyDescent="0.2">
      <c r="B91" s="77"/>
      <c r="C91" s="24"/>
      <c r="D91" s="25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  <c r="AQ91" s="341"/>
      <c r="AR91" s="341"/>
      <c r="AS91" s="341"/>
      <c r="AT91" s="341"/>
      <c r="AU91" s="341"/>
      <c r="AV91" s="341"/>
      <c r="AW91" s="341"/>
      <c r="AX91" s="341"/>
      <c r="AY91" s="341"/>
      <c r="AZ91" s="341"/>
      <c r="BA91" s="341"/>
      <c r="BB91" s="341"/>
      <c r="BC91" s="341"/>
      <c r="BD91" s="341"/>
      <c r="BE91" s="341"/>
      <c r="BF91" s="341"/>
      <c r="BG91" s="341"/>
      <c r="BH91" s="341"/>
      <c r="BI91" s="341"/>
      <c r="BJ91" s="341"/>
      <c r="BK91" s="341"/>
      <c r="BL91" s="341"/>
      <c r="BM91" s="341"/>
      <c r="BN91" s="341"/>
      <c r="BO91" s="341"/>
      <c r="BP91" s="341"/>
      <c r="BQ91" s="341"/>
      <c r="BR91" s="341"/>
      <c r="BS91" s="341"/>
      <c r="BT91" s="341"/>
      <c r="BU91" s="341"/>
      <c r="BV91" s="341"/>
      <c r="BW91" s="341"/>
      <c r="BX91" s="341"/>
      <c r="BY91" s="341"/>
      <c r="BZ91" s="341"/>
      <c r="CA91" s="341"/>
      <c r="CB91" s="341"/>
      <c r="CC91" s="341"/>
      <c r="CD91" s="341"/>
      <c r="CE91" s="341"/>
      <c r="CF91" s="341"/>
      <c r="CG91" s="341"/>
      <c r="CH91" s="341"/>
      <c r="CI91" s="341"/>
      <c r="CJ91" s="341"/>
      <c r="CK91" s="341"/>
      <c r="CL91" s="341"/>
      <c r="CM91" s="341"/>
      <c r="CN91" s="341"/>
      <c r="CO91" s="341"/>
      <c r="CP91" s="341"/>
      <c r="CQ91" s="341"/>
      <c r="CR91" s="341"/>
      <c r="CS91" s="341"/>
      <c r="CT91" s="341"/>
      <c r="CU91" s="341"/>
      <c r="CV91" s="341"/>
      <c r="CW91" s="341"/>
      <c r="CX91" s="341"/>
      <c r="CY91" s="341"/>
      <c r="CZ91" s="341"/>
      <c r="DA91" s="341"/>
      <c r="DB91" s="341"/>
      <c r="DC91" s="341"/>
      <c r="DD91" s="341"/>
      <c r="DE91" s="341"/>
      <c r="DF91" s="341"/>
      <c r="DG91" s="341"/>
      <c r="DH91" s="341"/>
      <c r="DI91" s="341"/>
      <c r="DJ91" s="341"/>
      <c r="DK91" s="341"/>
      <c r="DL91" s="341"/>
      <c r="DM91" s="341"/>
      <c r="DN91" s="341"/>
      <c r="DO91" s="341"/>
      <c r="DP91" s="341"/>
      <c r="DQ91" s="341"/>
      <c r="DR91" s="341"/>
      <c r="DS91" s="341"/>
      <c r="DT91" s="341"/>
      <c r="DU91" s="341"/>
      <c r="DV91" s="341"/>
      <c r="DW91" s="341"/>
      <c r="DX91" s="341"/>
      <c r="DY91" s="341"/>
      <c r="DZ91" s="341"/>
      <c r="EA91" s="341"/>
      <c r="EB91" s="341"/>
      <c r="EC91" s="341"/>
      <c r="ED91" s="341"/>
      <c r="EE91" s="341"/>
      <c r="EF91" s="341"/>
      <c r="EG91" s="341"/>
      <c r="EH91" s="341"/>
      <c r="EI91" s="341"/>
      <c r="EJ91" s="341"/>
      <c r="EK91" s="341"/>
      <c r="EL91" s="341"/>
      <c r="EM91" s="341"/>
      <c r="EN91" s="341"/>
      <c r="EO91" s="341"/>
      <c r="EP91" s="341"/>
      <c r="EQ91" s="341"/>
      <c r="ER91" s="341"/>
      <c r="ES91" s="341"/>
      <c r="ET91" s="341"/>
      <c r="EU91" s="341"/>
      <c r="EV91" s="341"/>
      <c r="EW91" s="341"/>
      <c r="EX91" s="341"/>
      <c r="EY91" s="341"/>
      <c r="EZ91" s="341"/>
      <c r="FA91" s="341"/>
      <c r="FB91" s="341"/>
      <c r="FC91" s="341"/>
      <c r="FD91" s="341"/>
      <c r="FE91" s="341"/>
      <c r="FF91" s="341"/>
      <c r="FG91" s="341"/>
      <c r="FH91" s="341"/>
      <c r="FI91" s="341"/>
      <c r="FJ91" s="341"/>
      <c r="FK91" s="341"/>
      <c r="FL91" s="341"/>
      <c r="FM91" s="341"/>
      <c r="FN91" s="341"/>
      <c r="FO91" s="341"/>
      <c r="FP91" s="341"/>
      <c r="FQ91" s="341"/>
      <c r="FR91" s="9"/>
    </row>
    <row r="92" spans="2:174" s="16" customFormat="1" ht="15" customHeight="1" x14ac:dyDescent="0.2">
      <c r="B92" s="78" t="s">
        <v>56</v>
      </c>
      <c r="C92" s="79"/>
      <c r="D92" s="80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  <c r="BU92" s="341"/>
      <c r="BV92" s="341"/>
      <c r="BW92" s="341"/>
      <c r="BX92" s="341"/>
      <c r="BY92" s="341"/>
      <c r="BZ92" s="341"/>
      <c r="CA92" s="341"/>
      <c r="CB92" s="341"/>
      <c r="CC92" s="341"/>
      <c r="CD92" s="341"/>
      <c r="CE92" s="341"/>
      <c r="CF92" s="341"/>
      <c r="CG92" s="341"/>
      <c r="CH92" s="341"/>
      <c r="CI92" s="341"/>
      <c r="CJ92" s="341"/>
      <c r="CK92" s="341"/>
      <c r="CL92" s="341"/>
      <c r="CM92" s="341"/>
      <c r="CN92" s="341"/>
      <c r="CO92" s="341"/>
      <c r="CP92" s="341"/>
      <c r="CQ92" s="341"/>
      <c r="CR92" s="341"/>
      <c r="CS92" s="341"/>
      <c r="CT92" s="341"/>
      <c r="CU92" s="341"/>
      <c r="CV92" s="341"/>
      <c r="CW92" s="341"/>
      <c r="CX92" s="341"/>
      <c r="CY92" s="341"/>
      <c r="CZ92" s="341"/>
      <c r="DA92" s="341"/>
      <c r="DB92" s="341"/>
      <c r="DC92" s="341"/>
      <c r="DD92" s="341"/>
      <c r="DE92" s="341"/>
      <c r="DF92" s="341"/>
      <c r="DG92" s="341"/>
      <c r="DH92" s="341"/>
      <c r="DI92" s="341"/>
      <c r="DJ92" s="341"/>
      <c r="DK92" s="341"/>
      <c r="DL92" s="341"/>
      <c r="DM92" s="341"/>
      <c r="DN92" s="341"/>
      <c r="DO92" s="341"/>
      <c r="DP92" s="341"/>
      <c r="DQ92" s="341"/>
      <c r="DR92" s="341"/>
      <c r="DS92" s="341"/>
      <c r="DT92" s="341"/>
      <c r="DU92" s="341"/>
      <c r="DV92" s="341"/>
      <c r="DW92" s="341"/>
      <c r="DX92" s="341"/>
      <c r="DY92" s="341"/>
      <c r="DZ92" s="341"/>
      <c r="EA92" s="341"/>
      <c r="EB92" s="341"/>
      <c r="EC92" s="341"/>
      <c r="ED92" s="341"/>
      <c r="EE92" s="341"/>
      <c r="EF92" s="341"/>
      <c r="EG92" s="341"/>
      <c r="EH92" s="341"/>
      <c r="EI92" s="341"/>
      <c r="EJ92" s="341"/>
      <c r="EK92" s="341"/>
      <c r="EL92" s="341"/>
      <c r="EM92" s="341"/>
      <c r="EN92" s="341"/>
      <c r="EO92" s="341"/>
      <c r="EP92" s="341"/>
      <c r="EQ92" s="341"/>
      <c r="ER92" s="341"/>
      <c r="ES92" s="341"/>
      <c r="ET92" s="341"/>
      <c r="EU92" s="341"/>
      <c r="EV92" s="341"/>
      <c r="EW92" s="341"/>
      <c r="EX92" s="341"/>
      <c r="EY92" s="341"/>
      <c r="EZ92" s="341"/>
      <c r="FA92" s="341"/>
      <c r="FB92" s="341"/>
      <c r="FC92" s="341"/>
      <c r="FD92" s="341"/>
      <c r="FE92" s="341"/>
      <c r="FF92" s="341"/>
      <c r="FG92" s="341"/>
      <c r="FH92" s="341"/>
      <c r="FI92" s="341"/>
      <c r="FJ92" s="341"/>
      <c r="FK92" s="341"/>
      <c r="FL92" s="341"/>
      <c r="FM92" s="341"/>
      <c r="FN92" s="341"/>
      <c r="FO92" s="341"/>
      <c r="FP92" s="341"/>
      <c r="FQ92" s="341"/>
      <c r="FR92" s="9"/>
    </row>
    <row r="93" spans="2:174" s="16" customFormat="1" ht="15" x14ac:dyDescent="0.2">
      <c r="B93" s="38" t="s">
        <v>57</v>
      </c>
      <c r="C93" s="23">
        <v>1.4</v>
      </c>
      <c r="D93" s="13">
        <f t="shared" ref="D93:D100" si="9">+$D$4*C93</f>
        <v>76385.763999999996</v>
      </c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341"/>
      <c r="BI93" s="341"/>
      <c r="BJ93" s="341"/>
      <c r="BK93" s="341"/>
      <c r="BL93" s="341"/>
      <c r="BM93" s="341"/>
      <c r="BN93" s="341"/>
      <c r="BO93" s="341"/>
      <c r="BP93" s="341"/>
      <c r="BQ93" s="341"/>
      <c r="BR93" s="341"/>
      <c r="BS93" s="341"/>
      <c r="BT93" s="341"/>
      <c r="BU93" s="341"/>
      <c r="BV93" s="341"/>
      <c r="BW93" s="341"/>
      <c r="BX93" s="341"/>
      <c r="BY93" s="341"/>
      <c r="BZ93" s="341"/>
      <c r="CA93" s="341"/>
      <c r="CB93" s="341"/>
      <c r="CC93" s="341"/>
      <c r="CD93" s="341"/>
      <c r="CE93" s="341"/>
      <c r="CF93" s="341"/>
      <c r="CG93" s="341"/>
      <c r="CH93" s="341"/>
      <c r="CI93" s="341"/>
      <c r="CJ93" s="341"/>
      <c r="CK93" s="341"/>
      <c r="CL93" s="341"/>
      <c r="CM93" s="341"/>
      <c r="CN93" s="341"/>
      <c r="CO93" s="341"/>
      <c r="CP93" s="341"/>
      <c r="CQ93" s="341"/>
      <c r="CR93" s="341"/>
      <c r="CS93" s="341"/>
      <c r="CT93" s="341"/>
      <c r="CU93" s="341"/>
      <c r="CV93" s="341"/>
      <c r="CW93" s="341"/>
      <c r="CX93" s="341"/>
      <c r="CY93" s="341"/>
      <c r="CZ93" s="341"/>
      <c r="DA93" s="341"/>
      <c r="DB93" s="341"/>
      <c r="DC93" s="341"/>
      <c r="DD93" s="341"/>
      <c r="DE93" s="341"/>
      <c r="DF93" s="341"/>
      <c r="DG93" s="341"/>
      <c r="DH93" s="341"/>
      <c r="DI93" s="341"/>
      <c r="DJ93" s="341"/>
      <c r="DK93" s="341"/>
      <c r="DL93" s="341"/>
      <c r="DM93" s="341"/>
      <c r="DN93" s="341"/>
      <c r="DO93" s="341"/>
      <c r="DP93" s="341"/>
      <c r="DQ93" s="341"/>
      <c r="DR93" s="341"/>
      <c r="DS93" s="341"/>
      <c r="DT93" s="341"/>
      <c r="DU93" s="341"/>
      <c r="DV93" s="341"/>
      <c r="DW93" s="341"/>
      <c r="DX93" s="341"/>
      <c r="DY93" s="341"/>
      <c r="DZ93" s="341"/>
      <c r="EA93" s="341"/>
      <c r="EB93" s="341"/>
      <c r="EC93" s="341"/>
      <c r="ED93" s="341"/>
      <c r="EE93" s="341"/>
      <c r="EF93" s="341"/>
      <c r="EG93" s="341"/>
      <c r="EH93" s="341"/>
      <c r="EI93" s="341"/>
      <c r="EJ93" s="341"/>
      <c r="EK93" s="341"/>
      <c r="EL93" s="341"/>
      <c r="EM93" s="341"/>
      <c r="EN93" s="341"/>
      <c r="EO93" s="341"/>
      <c r="EP93" s="341"/>
      <c r="EQ93" s="341"/>
      <c r="ER93" s="341"/>
      <c r="ES93" s="341"/>
      <c r="ET93" s="341"/>
      <c r="EU93" s="341"/>
      <c r="EV93" s="341"/>
      <c r="EW93" s="341"/>
      <c r="EX93" s="341"/>
      <c r="EY93" s="341"/>
      <c r="EZ93" s="341"/>
      <c r="FA93" s="341"/>
      <c r="FB93" s="341"/>
      <c r="FC93" s="341"/>
      <c r="FD93" s="341"/>
      <c r="FE93" s="341"/>
      <c r="FF93" s="341"/>
      <c r="FG93" s="341"/>
      <c r="FH93" s="341"/>
      <c r="FI93" s="341"/>
      <c r="FJ93" s="341"/>
      <c r="FK93" s="341"/>
      <c r="FL93" s="341"/>
      <c r="FM93" s="341"/>
      <c r="FN93" s="341"/>
      <c r="FO93" s="341"/>
      <c r="FP93" s="341"/>
      <c r="FQ93" s="341"/>
      <c r="FR93" s="9"/>
    </row>
    <row r="94" spans="2:174" s="16" customFormat="1" ht="15.6" customHeight="1" x14ac:dyDescent="0.2">
      <c r="B94" s="38" t="s">
        <v>58</v>
      </c>
      <c r="C94" s="23">
        <v>2</v>
      </c>
      <c r="D94" s="13">
        <f t="shared" si="9"/>
        <v>109122.52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174" s="16" customFormat="1" ht="15" x14ac:dyDescent="0.2">
      <c r="B95" s="38" t="s">
        <v>59</v>
      </c>
      <c r="C95" s="23">
        <v>1.5</v>
      </c>
      <c r="D95" s="13">
        <f t="shared" si="9"/>
        <v>81841.89</v>
      </c>
    </row>
    <row r="96" spans="2:174" s="16" customFormat="1" ht="15" customHeight="1" x14ac:dyDescent="0.2">
      <c r="B96" s="38" t="s">
        <v>60</v>
      </c>
      <c r="C96" s="23">
        <v>1.2</v>
      </c>
      <c r="D96" s="13">
        <f t="shared" si="9"/>
        <v>65473.512000000002</v>
      </c>
    </row>
    <row r="97" spans="2:174" s="16" customFormat="1" ht="15" x14ac:dyDescent="0.2">
      <c r="B97" s="38" t="s">
        <v>61</v>
      </c>
      <c r="C97" s="23">
        <v>0.5</v>
      </c>
      <c r="D97" s="13">
        <f t="shared" si="9"/>
        <v>27280.63</v>
      </c>
    </row>
    <row r="98" spans="2:174" s="16" customFormat="1" ht="30" x14ac:dyDescent="0.2">
      <c r="B98" s="38" t="s">
        <v>62</v>
      </c>
      <c r="C98" s="23">
        <v>1.4</v>
      </c>
      <c r="D98" s="13">
        <f t="shared" si="9"/>
        <v>76385.763999999996</v>
      </c>
    </row>
    <row r="99" spans="2:174" s="16" customFormat="1" ht="15" x14ac:dyDescent="0.2">
      <c r="B99" s="38" t="s">
        <v>63</v>
      </c>
      <c r="C99" s="23">
        <v>2</v>
      </c>
      <c r="D99" s="13">
        <f t="shared" si="9"/>
        <v>109122.52</v>
      </c>
    </row>
    <row r="100" spans="2:174" s="16" customFormat="1" ht="15" customHeight="1" x14ac:dyDescent="0.2">
      <c r="B100" s="38" t="s">
        <v>64</v>
      </c>
      <c r="C100" s="23">
        <v>1</v>
      </c>
      <c r="D100" s="13">
        <f t="shared" si="9"/>
        <v>54561.26</v>
      </c>
    </row>
    <row r="101" spans="2:174" s="16" customFormat="1" ht="15" x14ac:dyDescent="0.2">
      <c r="B101" s="28"/>
      <c r="C101" s="29"/>
      <c r="D101" s="30"/>
    </row>
    <row r="102" spans="2:174" s="16" customFormat="1" ht="15.75" x14ac:dyDescent="0.2">
      <c r="B102" s="78" t="s">
        <v>65</v>
      </c>
      <c r="C102" s="79"/>
      <c r="D102" s="80"/>
    </row>
    <row r="103" spans="2:174" s="16" customFormat="1" ht="15.6" customHeight="1" x14ac:dyDescent="0.2">
      <c r="B103" s="38" t="s">
        <v>66</v>
      </c>
      <c r="C103" s="20">
        <v>1.3</v>
      </c>
      <c r="D103" s="13">
        <f t="shared" ref="D103:D114" si="10">+$D$4*C103</f>
        <v>70929.638000000006</v>
      </c>
      <c r="E103" s="46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79"/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79"/>
      <c r="AQ103" s="379"/>
      <c r="AR103" s="379"/>
      <c r="AS103" s="379"/>
      <c r="AT103" s="379"/>
      <c r="AU103" s="379"/>
      <c r="AV103" s="379"/>
      <c r="AW103" s="379"/>
      <c r="AX103" s="379"/>
      <c r="AY103" s="379"/>
      <c r="AZ103" s="379"/>
      <c r="BA103" s="379"/>
      <c r="BB103" s="379"/>
      <c r="BC103" s="379"/>
      <c r="BD103" s="379"/>
      <c r="BE103" s="379"/>
      <c r="BF103" s="379"/>
      <c r="BG103" s="379"/>
      <c r="BH103" s="379"/>
      <c r="BI103" s="379"/>
      <c r="BJ103" s="379"/>
      <c r="BK103" s="379"/>
      <c r="BL103" s="379"/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9"/>
      <c r="BY103" s="379"/>
      <c r="BZ103" s="379"/>
      <c r="CA103" s="379"/>
      <c r="CB103" s="379"/>
      <c r="CC103" s="379"/>
      <c r="CD103" s="379"/>
      <c r="CE103" s="379"/>
      <c r="CF103" s="379"/>
      <c r="CG103" s="379"/>
      <c r="CH103" s="379"/>
      <c r="CI103" s="379"/>
      <c r="CJ103" s="379"/>
      <c r="CK103" s="379"/>
      <c r="CL103" s="379"/>
      <c r="CM103" s="379"/>
      <c r="CN103" s="379"/>
      <c r="CO103" s="379"/>
      <c r="CP103" s="379"/>
      <c r="CQ103" s="379"/>
      <c r="CR103" s="379"/>
      <c r="CS103" s="379"/>
      <c r="CT103" s="379"/>
      <c r="CU103" s="379"/>
      <c r="CV103" s="379"/>
      <c r="CW103" s="379"/>
      <c r="CX103" s="379"/>
      <c r="CY103" s="379"/>
      <c r="CZ103" s="379"/>
      <c r="DA103" s="379"/>
      <c r="DB103" s="379"/>
      <c r="DC103" s="379"/>
      <c r="DD103" s="379"/>
      <c r="DE103" s="379"/>
      <c r="DF103" s="379"/>
      <c r="DG103" s="379"/>
      <c r="DH103" s="379"/>
      <c r="DI103" s="379"/>
      <c r="DJ103" s="379"/>
      <c r="DK103" s="379"/>
      <c r="DL103" s="379"/>
      <c r="DM103" s="379"/>
      <c r="DN103" s="379"/>
      <c r="DO103" s="379"/>
      <c r="DP103" s="379"/>
      <c r="DQ103" s="379"/>
      <c r="DR103" s="379"/>
      <c r="DS103" s="379"/>
      <c r="DT103" s="379"/>
      <c r="DU103" s="379"/>
      <c r="DV103" s="379"/>
      <c r="DW103" s="379"/>
      <c r="DX103" s="379"/>
      <c r="DY103" s="379"/>
      <c r="DZ103" s="379"/>
      <c r="EA103" s="379"/>
      <c r="EB103" s="379"/>
      <c r="EC103" s="379"/>
      <c r="ED103" s="379"/>
      <c r="EE103" s="379"/>
      <c r="EF103" s="379"/>
      <c r="EG103" s="379"/>
      <c r="EH103" s="379"/>
      <c r="EI103" s="379"/>
      <c r="EJ103" s="379"/>
      <c r="EK103" s="379"/>
      <c r="EL103" s="379"/>
      <c r="EM103" s="379"/>
      <c r="EN103" s="379"/>
      <c r="EO103" s="379"/>
      <c r="EP103" s="379"/>
      <c r="EQ103" s="379"/>
      <c r="ER103" s="379"/>
      <c r="ES103" s="379"/>
      <c r="ET103" s="379"/>
      <c r="EU103" s="379"/>
      <c r="EV103" s="379"/>
      <c r="EW103" s="379"/>
      <c r="EX103" s="379"/>
      <c r="EY103" s="379"/>
      <c r="EZ103" s="379"/>
      <c r="FA103" s="379"/>
      <c r="FB103" s="379"/>
      <c r="FC103" s="379"/>
      <c r="FD103" s="379"/>
      <c r="FE103" s="379"/>
      <c r="FF103" s="379"/>
      <c r="FG103" s="379"/>
      <c r="FH103" s="379"/>
      <c r="FI103" s="379"/>
      <c r="FJ103" s="379"/>
      <c r="FK103" s="379"/>
      <c r="FL103" s="379"/>
      <c r="FM103" s="379"/>
      <c r="FN103" s="379"/>
      <c r="FO103" s="379"/>
      <c r="FP103" s="379"/>
      <c r="FQ103" s="379"/>
      <c r="FR103" s="379"/>
    </row>
    <row r="104" spans="2:174" s="16" customFormat="1" ht="15" customHeight="1" x14ac:dyDescent="0.2">
      <c r="B104" s="35" t="s">
        <v>67</v>
      </c>
      <c r="C104" s="20">
        <v>1.5</v>
      </c>
      <c r="D104" s="13">
        <f t="shared" si="10"/>
        <v>81841.89</v>
      </c>
    </row>
    <row r="105" spans="2:174" s="16" customFormat="1" ht="15" customHeight="1" x14ac:dyDescent="0.2">
      <c r="B105" s="38" t="s">
        <v>68</v>
      </c>
      <c r="C105" s="20">
        <v>1.9</v>
      </c>
      <c r="D105" s="13">
        <f t="shared" si="10"/>
        <v>103666.394</v>
      </c>
    </row>
    <row r="106" spans="2:174" s="16" customFormat="1" ht="15" customHeight="1" x14ac:dyDescent="0.2">
      <c r="B106" s="35" t="s">
        <v>69</v>
      </c>
      <c r="C106" s="20">
        <v>1.9</v>
      </c>
      <c r="D106" s="13">
        <f t="shared" si="10"/>
        <v>103666.394</v>
      </c>
    </row>
    <row r="107" spans="2:174" s="16" customFormat="1" ht="15" customHeight="1" x14ac:dyDescent="0.2">
      <c r="B107" s="38" t="s">
        <v>70</v>
      </c>
      <c r="C107" s="20">
        <v>1.6</v>
      </c>
      <c r="D107" s="13">
        <f t="shared" si="10"/>
        <v>87298.016000000003</v>
      </c>
    </row>
    <row r="108" spans="2:174" s="16" customFormat="1" ht="15" x14ac:dyDescent="0.2">
      <c r="B108" s="35" t="s">
        <v>71</v>
      </c>
      <c r="C108" s="20">
        <v>1.9</v>
      </c>
      <c r="D108" s="13">
        <f t="shared" si="10"/>
        <v>103666.394</v>
      </c>
    </row>
    <row r="109" spans="2:174" ht="15.6" customHeight="1" x14ac:dyDescent="0.2">
      <c r="B109" s="38" t="s">
        <v>72</v>
      </c>
      <c r="C109" s="20">
        <v>1.8</v>
      </c>
      <c r="D109" s="13">
        <f t="shared" si="10"/>
        <v>98210.268000000011</v>
      </c>
    </row>
    <row r="110" spans="2:174" s="16" customFormat="1" ht="15" customHeight="1" x14ac:dyDescent="0.2">
      <c r="B110" s="35" t="s">
        <v>73</v>
      </c>
      <c r="C110" s="20">
        <v>1.8</v>
      </c>
      <c r="D110" s="13">
        <f t="shared" si="10"/>
        <v>98210.268000000011</v>
      </c>
    </row>
    <row r="111" spans="2:174" s="16" customFormat="1" ht="15" customHeight="1" x14ac:dyDescent="0.2">
      <c r="B111" s="38" t="s">
        <v>74</v>
      </c>
      <c r="C111" s="20">
        <v>1.8</v>
      </c>
      <c r="D111" s="13">
        <f t="shared" si="10"/>
        <v>98210.268000000011</v>
      </c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1"/>
      <c r="BB111" s="341"/>
      <c r="BC111" s="341"/>
      <c r="BD111" s="341"/>
      <c r="BE111" s="341"/>
      <c r="BF111" s="341"/>
      <c r="BG111" s="341"/>
      <c r="BH111" s="341"/>
      <c r="BI111" s="341"/>
      <c r="BJ111" s="341"/>
      <c r="BK111" s="341"/>
      <c r="BL111" s="341"/>
      <c r="BM111" s="341"/>
      <c r="BN111" s="341"/>
      <c r="BO111" s="341"/>
      <c r="BP111" s="341"/>
      <c r="BQ111" s="341"/>
      <c r="BR111" s="341"/>
      <c r="BS111" s="341"/>
      <c r="BT111" s="341"/>
      <c r="BU111" s="341"/>
      <c r="BV111" s="341"/>
      <c r="BW111" s="341"/>
      <c r="BX111" s="341"/>
      <c r="BY111" s="341"/>
      <c r="BZ111" s="341"/>
      <c r="CA111" s="341"/>
      <c r="CB111" s="341"/>
      <c r="CC111" s="341"/>
      <c r="CD111" s="341"/>
      <c r="CE111" s="341"/>
      <c r="CF111" s="341"/>
      <c r="CG111" s="341"/>
      <c r="CH111" s="341"/>
      <c r="CI111" s="341"/>
      <c r="CJ111" s="341"/>
      <c r="CK111" s="341"/>
      <c r="CL111" s="341"/>
      <c r="CM111" s="341"/>
      <c r="CN111" s="341"/>
      <c r="CO111" s="341"/>
      <c r="CP111" s="341"/>
      <c r="CQ111" s="341"/>
      <c r="CR111" s="341"/>
      <c r="CS111" s="341"/>
      <c r="CT111" s="341"/>
      <c r="CU111" s="341"/>
      <c r="CV111" s="341"/>
      <c r="CW111" s="341"/>
      <c r="CX111" s="341"/>
      <c r="CY111" s="341"/>
      <c r="CZ111" s="341"/>
      <c r="DA111" s="341"/>
      <c r="DB111" s="341"/>
      <c r="DC111" s="341"/>
      <c r="DD111" s="341"/>
      <c r="DE111" s="341"/>
      <c r="DF111" s="341"/>
      <c r="DG111" s="341"/>
      <c r="DH111" s="341"/>
      <c r="DI111" s="341"/>
      <c r="DJ111" s="341"/>
      <c r="DK111" s="341"/>
      <c r="DL111" s="341"/>
      <c r="DM111" s="341"/>
      <c r="DN111" s="341"/>
      <c r="DO111" s="341"/>
      <c r="DP111" s="341"/>
      <c r="DQ111" s="341"/>
      <c r="DR111" s="341"/>
      <c r="DS111" s="341"/>
      <c r="DT111" s="341"/>
      <c r="DU111" s="341"/>
      <c r="DV111" s="341"/>
      <c r="DW111" s="341"/>
      <c r="DX111" s="341"/>
      <c r="DY111" s="341"/>
      <c r="DZ111" s="341"/>
      <c r="EA111" s="341"/>
      <c r="EB111" s="341"/>
      <c r="EC111" s="341"/>
      <c r="ED111" s="341"/>
      <c r="EE111" s="341"/>
      <c r="EF111" s="341"/>
      <c r="EG111" s="341"/>
      <c r="EH111" s="341"/>
      <c r="EI111" s="341"/>
      <c r="EJ111" s="341"/>
      <c r="EK111" s="341"/>
      <c r="EL111" s="341"/>
      <c r="EM111" s="341"/>
      <c r="EN111" s="341"/>
      <c r="EO111" s="341"/>
      <c r="EP111" s="341"/>
      <c r="EQ111" s="341"/>
      <c r="ER111" s="341"/>
      <c r="ES111" s="341"/>
      <c r="ET111" s="341"/>
      <c r="EU111" s="341"/>
      <c r="EV111" s="341"/>
      <c r="EW111" s="341"/>
      <c r="EX111" s="341"/>
      <c r="EY111" s="341"/>
      <c r="EZ111" s="341"/>
      <c r="FA111" s="341"/>
      <c r="FB111" s="341"/>
      <c r="FC111" s="341"/>
      <c r="FD111" s="341"/>
      <c r="FE111" s="341"/>
      <c r="FF111" s="341"/>
      <c r="FG111" s="341"/>
      <c r="FH111" s="341"/>
      <c r="FI111" s="341"/>
      <c r="FJ111" s="341"/>
      <c r="FK111" s="341"/>
      <c r="FL111" s="341"/>
      <c r="FM111" s="341"/>
      <c r="FN111" s="341"/>
      <c r="FO111" s="341"/>
      <c r="FP111" s="341"/>
      <c r="FQ111" s="341"/>
      <c r="FR111" s="9"/>
    </row>
    <row r="112" spans="2:174" s="16" customFormat="1" ht="15" customHeight="1" x14ac:dyDescent="0.2">
      <c r="B112" s="35" t="s">
        <v>75</v>
      </c>
      <c r="C112" s="20">
        <v>1.9</v>
      </c>
      <c r="D112" s="13">
        <f t="shared" si="10"/>
        <v>103666.394</v>
      </c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1"/>
      <c r="BJ112" s="341"/>
      <c r="BK112" s="341"/>
      <c r="BL112" s="341"/>
      <c r="BM112" s="341"/>
      <c r="BN112" s="341"/>
      <c r="BO112" s="341"/>
      <c r="BP112" s="341"/>
      <c r="BQ112" s="341"/>
      <c r="BR112" s="341"/>
      <c r="BS112" s="341"/>
      <c r="BT112" s="341"/>
      <c r="BU112" s="341"/>
      <c r="BV112" s="341"/>
      <c r="BW112" s="341"/>
      <c r="BX112" s="341"/>
      <c r="BY112" s="341"/>
      <c r="BZ112" s="341"/>
      <c r="CA112" s="341"/>
      <c r="CB112" s="341"/>
      <c r="CC112" s="341"/>
      <c r="CD112" s="341"/>
      <c r="CE112" s="341"/>
      <c r="CF112" s="341"/>
      <c r="CG112" s="341"/>
      <c r="CH112" s="341"/>
      <c r="CI112" s="341"/>
      <c r="CJ112" s="341"/>
      <c r="CK112" s="341"/>
      <c r="CL112" s="341"/>
      <c r="CM112" s="341"/>
      <c r="CN112" s="341"/>
      <c r="CO112" s="341"/>
      <c r="CP112" s="341"/>
      <c r="CQ112" s="341"/>
      <c r="CR112" s="341"/>
      <c r="CS112" s="341"/>
      <c r="CT112" s="341"/>
      <c r="CU112" s="341"/>
      <c r="CV112" s="341"/>
      <c r="CW112" s="341"/>
      <c r="CX112" s="341"/>
      <c r="CY112" s="341"/>
      <c r="CZ112" s="341"/>
      <c r="DA112" s="341"/>
      <c r="DB112" s="341"/>
      <c r="DC112" s="341"/>
      <c r="DD112" s="341"/>
      <c r="DE112" s="341"/>
      <c r="DF112" s="341"/>
      <c r="DG112" s="341"/>
      <c r="DH112" s="341"/>
      <c r="DI112" s="341"/>
      <c r="DJ112" s="341"/>
      <c r="DK112" s="341"/>
      <c r="DL112" s="341"/>
      <c r="DM112" s="341"/>
      <c r="DN112" s="341"/>
      <c r="DO112" s="341"/>
      <c r="DP112" s="341"/>
      <c r="DQ112" s="341"/>
      <c r="DR112" s="341"/>
      <c r="DS112" s="341"/>
      <c r="DT112" s="341"/>
      <c r="DU112" s="341"/>
      <c r="DV112" s="341"/>
      <c r="DW112" s="341"/>
      <c r="DX112" s="341"/>
      <c r="DY112" s="341"/>
      <c r="DZ112" s="341"/>
      <c r="EA112" s="341"/>
      <c r="EB112" s="341"/>
      <c r="EC112" s="341"/>
      <c r="ED112" s="341"/>
      <c r="EE112" s="341"/>
      <c r="EF112" s="341"/>
      <c r="EG112" s="341"/>
      <c r="EH112" s="341"/>
      <c r="EI112" s="341"/>
      <c r="EJ112" s="341"/>
      <c r="EK112" s="341"/>
      <c r="EL112" s="341"/>
      <c r="EM112" s="341"/>
      <c r="EN112" s="341"/>
      <c r="EO112" s="341"/>
      <c r="EP112" s="341"/>
      <c r="EQ112" s="341"/>
      <c r="ER112" s="341"/>
      <c r="ES112" s="341"/>
      <c r="ET112" s="341"/>
      <c r="EU112" s="341"/>
      <c r="EV112" s="341"/>
      <c r="EW112" s="341"/>
      <c r="EX112" s="341"/>
      <c r="EY112" s="341"/>
      <c r="EZ112" s="341"/>
      <c r="FA112" s="341"/>
      <c r="FB112" s="341"/>
      <c r="FC112" s="341"/>
      <c r="FD112" s="341"/>
      <c r="FE112" s="341"/>
      <c r="FF112" s="341"/>
      <c r="FG112" s="341"/>
      <c r="FH112" s="341"/>
      <c r="FI112" s="341"/>
      <c r="FJ112" s="341"/>
      <c r="FK112" s="341"/>
      <c r="FL112" s="341"/>
      <c r="FM112" s="341"/>
      <c r="FN112" s="341"/>
      <c r="FO112" s="341"/>
      <c r="FP112" s="341"/>
      <c r="FQ112" s="341"/>
      <c r="FR112" s="9"/>
    </row>
    <row r="113" spans="2:174" s="16" customFormat="1" ht="15" customHeight="1" x14ac:dyDescent="0.2">
      <c r="B113" s="38" t="s">
        <v>76</v>
      </c>
      <c r="C113" s="20">
        <v>1.9</v>
      </c>
      <c r="D113" s="13">
        <f t="shared" si="10"/>
        <v>103666.394</v>
      </c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1"/>
      <c r="AW113" s="341"/>
      <c r="AX113" s="341"/>
      <c r="AY113" s="341"/>
      <c r="AZ113" s="341"/>
      <c r="BA113" s="341"/>
      <c r="BB113" s="341"/>
      <c r="BC113" s="341"/>
      <c r="BD113" s="341"/>
      <c r="BE113" s="341"/>
      <c r="BF113" s="341"/>
      <c r="BG113" s="341"/>
      <c r="BH113" s="341"/>
      <c r="BI113" s="341"/>
      <c r="BJ113" s="341"/>
      <c r="BK113" s="341"/>
      <c r="BL113" s="341"/>
      <c r="BM113" s="341"/>
      <c r="BN113" s="341"/>
      <c r="BO113" s="341"/>
      <c r="BP113" s="341"/>
      <c r="BQ113" s="341"/>
      <c r="BR113" s="341"/>
      <c r="BS113" s="341"/>
      <c r="BT113" s="341"/>
      <c r="BU113" s="341"/>
      <c r="BV113" s="341"/>
      <c r="BW113" s="341"/>
      <c r="BX113" s="341"/>
      <c r="BY113" s="341"/>
      <c r="BZ113" s="341"/>
      <c r="CA113" s="341"/>
      <c r="CB113" s="341"/>
      <c r="CC113" s="341"/>
      <c r="CD113" s="341"/>
      <c r="CE113" s="341"/>
      <c r="CF113" s="341"/>
      <c r="CG113" s="341"/>
      <c r="CH113" s="341"/>
      <c r="CI113" s="341"/>
      <c r="CJ113" s="341"/>
      <c r="CK113" s="341"/>
      <c r="CL113" s="341"/>
      <c r="CM113" s="341"/>
      <c r="CN113" s="341"/>
      <c r="CO113" s="341"/>
      <c r="CP113" s="341"/>
      <c r="CQ113" s="341"/>
      <c r="CR113" s="341"/>
      <c r="CS113" s="341"/>
      <c r="CT113" s="341"/>
      <c r="CU113" s="341"/>
      <c r="CV113" s="341"/>
      <c r="CW113" s="341"/>
      <c r="CX113" s="341"/>
      <c r="CY113" s="341"/>
      <c r="CZ113" s="341"/>
      <c r="DA113" s="341"/>
      <c r="DB113" s="341"/>
      <c r="DC113" s="341"/>
      <c r="DD113" s="341"/>
      <c r="DE113" s="341"/>
      <c r="DF113" s="341"/>
      <c r="DG113" s="341"/>
      <c r="DH113" s="341"/>
      <c r="DI113" s="341"/>
      <c r="DJ113" s="341"/>
      <c r="DK113" s="341"/>
      <c r="DL113" s="341"/>
      <c r="DM113" s="341"/>
      <c r="DN113" s="341"/>
      <c r="DO113" s="341"/>
      <c r="DP113" s="341"/>
      <c r="DQ113" s="341"/>
      <c r="DR113" s="341"/>
      <c r="DS113" s="341"/>
      <c r="DT113" s="341"/>
      <c r="DU113" s="341"/>
      <c r="DV113" s="341"/>
      <c r="DW113" s="341"/>
      <c r="DX113" s="341"/>
      <c r="DY113" s="341"/>
      <c r="DZ113" s="341"/>
      <c r="EA113" s="341"/>
      <c r="EB113" s="341"/>
      <c r="EC113" s="341"/>
      <c r="ED113" s="341"/>
      <c r="EE113" s="341"/>
      <c r="EF113" s="341"/>
      <c r="EG113" s="341"/>
      <c r="EH113" s="341"/>
      <c r="EI113" s="341"/>
      <c r="EJ113" s="341"/>
      <c r="EK113" s="341"/>
      <c r="EL113" s="341"/>
      <c r="EM113" s="341"/>
      <c r="EN113" s="341"/>
      <c r="EO113" s="341"/>
      <c r="EP113" s="341"/>
      <c r="EQ113" s="341"/>
      <c r="ER113" s="341"/>
      <c r="ES113" s="341"/>
      <c r="ET113" s="341"/>
      <c r="EU113" s="341"/>
      <c r="EV113" s="341"/>
      <c r="EW113" s="341"/>
      <c r="EX113" s="341"/>
      <c r="EY113" s="341"/>
      <c r="EZ113" s="341"/>
      <c r="FA113" s="341"/>
      <c r="FB113" s="341"/>
      <c r="FC113" s="341"/>
      <c r="FD113" s="341"/>
      <c r="FE113" s="341"/>
      <c r="FF113" s="341"/>
      <c r="FG113" s="341"/>
      <c r="FH113" s="341"/>
      <c r="FI113" s="341"/>
      <c r="FJ113" s="341"/>
      <c r="FK113" s="341"/>
      <c r="FL113" s="341"/>
      <c r="FM113" s="341"/>
      <c r="FN113" s="341"/>
      <c r="FO113" s="341"/>
      <c r="FP113" s="341"/>
      <c r="FQ113" s="341"/>
      <c r="FR113" s="9"/>
    </row>
    <row r="114" spans="2:174" s="16" customFormat="1" ht="15" x14ac:dyDescent="0.2">
      <c r="B114" s="35" t="s">
        <v>77</v>
      </c>
      <c r="C114" s="20">
        <v>1.9</v>
      </c>
      <c r="D114" s="13">
        <f t="shared" si="10"/>
        <v>103666.394</v>
      </c>
    </row>
    <row r="115" spans="2:174" s="1" customFormat="1" ht="15" customHeight="1" x14ac:dyDescent="0.2">
      <c r="B115" s="77"/>
      <c r="C115" s="10"/>
      <c r="D115" s="22"/>
    </row>
    <row r="116" spans="2:174" ht="15.75" x14ac:dyDescent="0.2">
      <c r="B116" s="78" t="s">
        <v>78</v>
      </c>
      <c r="C116" s="79"/>
      <c r="D116" s="80"/>
    </row>
    <row r="117" spans="2:174" s="16" customFormat="1" ht="15.6" customHeight="1" x14ac:dyDescent="0.2">
      <c r="B117" s="38" t="s">
        <v>79</v>
      </c>
      <c r="C117" s="23">
        <v>1.6</v>
      </c>
      <c r="D117" s="13">
        <f t="shared" ref="D117:D120" si="11">+$D$4*C117</f>
        <v>87298.016000000003</v>
      </c>
    </row>
    <row r="118" spans="2:174" ht="15" customHeight="1" x14ac:dyDescent="0.2">
      <c r="B118" s="38" t="s">
        <v>80</v>
      </c>
      <c r="C118" s="23">
        <v>1.6</v>
      </c>
      <c r="D118" s="13">
        <f t="shared" si="11"/>
        <v>87298.016000000003</v>
      </c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1"/>
      <c r="AZ118" s="341"/>
      <c r="BA118" s="341"/>
      <c r="BB118" s="341"/>
      <c r="BC118" s="341"/>
      <c r="BD118" s="341"/>
      <c r="BE118" s="341"/>
      <c r="BF118" s="341"/>
      <c r="BG118" s="341"/>
      <c r="BH118" s="341"/>
      <c r="BI118" s="341"/>
      <c r="BJ118" s="341"/>
      <c r="BK118" s="341"/>
      <c r="BL118" s="341"/>
      <c r="BM118" s="341"/>
      <c r="BN118" s="341"/>
      <c r="BO118" s="341"/>
      <c r="BP118" s="341"/>
      <c r="BQ118" s="341"/>
      <c r="BR118" s="341"/>
      <c r="BS118" s="341"/>
      <c r="BT118" s="341"/>
      <c r="BU118" s="341"/>
      <c r="BV118" s="341"/>
      <c r="BW118" s="341"/>
      <c r="BX118" s="341"/>
      <c r="BY118" s="341"/>
      <c r="BZ118" s="341"/>
      <c r="CA118" s="341"/>
      <c r="CB118" s="341"/>
      <c r="CC118" s="341"/>
      <c r="CD118" s="341"/>
      <c r="CE118" s="341"/>
      <c r="CF118" s="341"/>
      <c r="CG118" s="341"/>
      <c r="CH118" s="341"/>
      <c r="CI118" s="341"/>
      <c r="CJ118" s="341"/>
      <c r="CK118" s="341"/>
      <c r="CL118" s="341"/>
      <c r="CM118" s="341"/>
      <c r="CN118" s="341"/>
      <c r="CO118" s="341"/>
      <c r="CP118" s="341"/>
      <c r="CQ118" s="341"/>
      <c r="CR118" s="341"/>
      <c r="CS118" s="341"/>
      <c r="CT118" s="341"/>
      <c r="CU118" s="341"/>
      <c r="CV118" s="341"/>
      <c r="CW118" s="341"/>
      <c r="CX118" s="341"/>
      <c r="CY118" s="341"/>
      <c r="CZ118" s="341"/>
      <c r="DA118" s="341"/>
      <c r="DB118" s="341"/>
      <c r="DC118" s="341"/>
      <c r="DD118" s="341"/>
      <c r="DE118" s="341"/>
      <c r="DF118" s="341"/>
      <c r="DG118" s="341"/>
      <c r="DH118" s="341"/>
      <c r="DI118" s="341"/>
      <c r="DJ118" s="341"/>
      <c r="DK118" s="341"/>
      <c r="DL118" s="341"/>
      <c r="DM118" s="341"/>
      <c r="DN118" s="341"/>
      <c r="DO118" s="341"/>
      <c r="DP118" s="341"/>
      <c r="DQ118" s="341"/>
      <c r="DR118" s="341"/>
      <c r="DS118" s="341"/>
      <c r="DT118" s="341"/>
      <c r="DU118" s="341"/>
      <c r="DV118" s="341"/>
      <c r="DW118" s="341"/>
      <c r="DX118" s="341"/>
      <c r="DY118" s="341"/>
      <c r="DZ118" s="341"/>
      <c r="EA118" s="341"/>
      <c r="EB118" s="341"/>
      <c r="EC118" s="341"/>
      <c r="ED118" s="341"/>
      <c r="EE118" s="341"/>
      <c r="EF118" s="341"/>
      <c r="EG118" s="341"/>
      <c r="EH118" s="341"/>
      <c r="EI118" s="341"/>
      <c r="EJ118" s="341"/>
      <c r="EK118" s="341"/>
      <c r="EL118" s="341"/>
      <c r="EM118" s="341"/>
      <c r="EN118" s="341"/>
      <c r="EO118" s="341"/>
      <c r="EP118" s="341"/>
      <c r="EQ118" s="341"/>
      <c r="ER118" s="341"/>
      <c r="ES118" s="341"/>
      <c r="ET118" s="341"/>
      <c r="EU118" s="341"/>
      <c r="EV118" s="341"/>
      <c r="EW118" s="341"/>
      <c r="EX118" s="341"/>
      <c r="EY118" s="341"/>
      <c r="EZ118" s="341"/>
      <c r="FA118" s="341"/>
      <c r="FB118" s="341"/>
      <c r="FC118" s="341"/>
      <c r="FD118" s="341"/>
      <c r="FE118" s="341"/>
      <c r="FF118" s="341"/>
      <c r="FG118" s="341"/>
      <c r="FH118" s="341"/>
      <c r="FI118" s="341"/>
      <c r="FJ118" s="341"/>
      <c r="FK118" s="341"/>
      <c r="FL118" s="341"/>
      <c r="FM118" s="341"/>
      <c r="FN118" s="341"/>
      <c r="FO118" s="341"/>
      <c r="FP118" s="341"/>
      <c r="FQ118" s="341"/>
      <c r="FR118" s="9"/>
    </row>
    <row r="119" spans="2:174" ht="15" x14ac:dyDescent="0.2">
      <c r="B119" s="38" t="s">
        <v>81</v>
      </c>
      <c r="C119" s="23">
        <v>2</v>
      </c>
      <c r="D119" s="13">
        <f t="shared" si="11"/>
        <v>109122.52</v>
      </c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  <c r="AQ119" s="341"/>
      <c r="AR119" s="341"/>
      <c r="AS119" s="341"/>
      <c r="AT119" s="341"/>
      <c r="AU119" s="341"/>
      <c r="AV119" s="341"/>
      <c r="AW119" s="341"/>
      <c r="AX119" s="341"/>
      <c r="AY119" s="341"/>
      <c r="AZ119" s="341"/>
      <c r="BA119" s="341"/>
      <c r="BB119" s="341"/>
      <c r="BC119" s="341"/>
      <c r="BD119" s="341"/>
      <c r="BE119" s="341"/>
      <c r="BF119" s="341"/>
      <c r="BG119" s="341"/>
      <c r="BH119" s="341"/>
      <c r="BI119" s="341"/>
      <c r="BJ119" s="341"/>
      <c r="BK119" s="341"/>
      <c r="BL119" s="341"/>
      <c r="BM119" s="341"/>
      <c r="BN119" s="341"/>
      <c r="BO119" s="341"/>
      <c r="BP119" s="341"/>
      <c r="BQ119" s="341"/>
      <c r="BR119" s="341"/>
      <c r="BS119" s="341"/>
      <c r="BT119" s="341"/>
      <c r="BU119" s="341"/>
      <c r="BV119" s="341"/>
      <c r="BW119" s="341"/>
      <c r="BX119" s="341"/>
      <c r="BY119" s="341"/>
      <c r="BZ119" s="341"/>
      <c r="CA119" s="341"/>
      <c r="CB119" s="341"/>
      <c r="CC119" s="341"/>
      <c r="CD119" s="341"/>
      <c r="CE119" s="341"/>
      <c r="CF119" s="341"/>
      <c r="CG119" s="341"/>
      <c r="CH119" s="341"/>
      <c r="CI119" s="341"/>
      <c r="CJ119" s="341"/>
      <c r="CK119" s="341"/>
      <c r="CL119" s="341"/>
      <c r="CM119" s="341"/>
      <c r="CN119" s="341"/>
      <c r="CO119" s="341"/>
      <c r="CP119" s="341"/>
      <c r="CQ119" s="341"/>
      <c r="CR119" s="341"/>
      <c r="CS119" s="341"/>
      <c r="CT119" s="341"/>
      <c r="CU119" s="341"/>
      <c r="CV119" s="341"/>
      <c r="CW119" s="341"/>
      <c r="CX119" s="341"/>
      <c r="CY119" s="341"/>
      <c r="CZ119" s="341"/>
      <c r="DA119" s="341"/>
      <c r="DB119" s="341"/>
      <c r="DC119" s="341"/>
      <c r="DD119" s="341"/>
      <c r="DE119" s="341"/>
      <c r="DF119" s="341"/>
      <c r="DG119" s="341"/>
      <c r="DH119" s="341"/>
      <c r="DI119" s="341"/>
      <c r="DJ119" s="341"/>
      <c r="DK119" s="341"/>
      <c r="DL119" s="341"/>
      <c r="DM119" s="341"/>
      <c r="DN119" s="341"/>
      <c r="DO119" s="341"/>
      <c r="DP119" s="341"/>
      <c r="DQ119" s="341"/>
      <c r="DR119" s="341"/>
      <c r="DS119" s="341"/>
      <c r="DT119" s="341"/>
      <c r="DU119" s="341"/>
      <c r="DV119" s="341"/>
      <c r="DW119" s="341"/>
      <c r="DX119" s="341"/>
      <c r="DY119" s="341"/>
      <c r="DZ119" s="341"/>
      <c r="EA119" s="341"/>
      <c r="EB119" s="341"/>
      <c r="EC119" s="341"/>
      <c r="ED119" s="341"/>
      <c r="EE119" s="341"/>
      <c r="EF119" s="341"/>
      <c r="EG119" s="341"/>
      <c r="EH119" s="341"/>
      <c r="EI119" s="341"/>
      <c r="EJ119" s="341"/>
      <c r="EK119" s="341"/>
      <c r="EL119" s="341"/>
      <c r="EM119" s="341"/>
      <c r="EN119" s="341"/>
      <c r="EO119" s="341"/>
      <c r="EP119" s="341"/>
      <c r="EQ119" s="341"/>
      <c r="ER119" s="341"/>
      <c r="ES119" s="341"/>
      <c r="ET119" s="341"/>
      <c r="EU119" s="341"/>
      <c r="EV119" s="341"/>
      <c r="EW119" s="341"/>
      <c r="EX119" s="341"/>
      <c r="EY119" s="341"/>
      <c r="EZ119" s="341"/>
      <c r="FA119" s="341"/>
      <c r="FB119" s="341"/>
      <c r="FC119" s="341"/>
      <c r="FD119" s="341"/>
      <c r="FE119" s="341"/>
      <c r="FF119" s="341"/>
      <c r="FG119" s="341"/>
      <c r="FH119" s="341"/>
      <c r="FI119" s="341"/>
      <c r="FJ119" s="341"/>
      <c r="FK119" s="341"/>
      <c r="FL119" s="341"/>
      <c r="FM119" s="341"/>
      <c r="FN119" s="341"/>
      <c r="FO119" s="341"/>
      <c r="FP119" s="341"/>
      <c r="FQ119" s="341"/>
      <c r="FR119" s="9"/>
    </row>
    <row r="120" spans="2:174" ht="15" customHeight="1" x14ac:dyDescent="0.2">
      <c r="B120" s="38" t="s">
        <v>82</v>
      </c>
      <c r="C120" s="23">
        <v>1</v>
      </c>
      <c r="D120" s="13">
        <f t="shared" si="11"/>
        <v>54561.26</v>
      </c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BA120" s="341"/>
      <c r="BB120" s="341"/>
      <c r="BC120" s="341"/>
      <c r="BD120" s="341"/>
      <c r="BE120" s="341"/>
      <c r="BF120" s="341"/>
      <c r="BG120" s="341"/>
      <c r="BH120" s="341"/>
      <c r="BI120" s="341"/>
      <c r="BJ120" s="341"/>
      <c r="BK120" s="341"/>
      <c r="BL120" s="341"/>
      <c r="BM120" s="341"/>
      <c r="BN120" s="341"/>
      <c r="BO120" s="341"/>
      <c r="BP120" s="341"/>
      <c r="BQ120" s="341"/>
      <c r="BR120" s="341"/>
      <c r="BS120" s="341"/>
      <c r="BT120" s="341"/>
      <c r="BU120" s="341"/>
      <c r="BV120" s="341"/>
      <c r="BW120" s="341"/>
      <c r="BX120" s="341"/>
      <c r="BY120" s="341"/>
      <c r="BZ120" s="341"/>
      <c r="CA120" s="341"/>
      <c r="CB120" s="341"/>
      <c r="CC120" s="341"/>
      <c r="CD120" s="341"/>
      <c r="CE120" s="341"/>
      <c r="CF120" s="341"/>
      <c r="CG120" s="341"/>
      <c r="CH120" s="341"/>
      <c r="CI120" s="341"/>
      <c r="CJ120" s="341"/>
      <c r="CK120" s="341"/>
      <c r="CL120" s="341"/>
      <c r="CM120" s="341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41"/>
      <c r="CX120" s="341"/>
      <c r="CY120" s="341"/>
      <c r="CZ120" s="341"/>
      <c r="DA120" s="341"/>
      <c r="DB120" s="341"/>
      <c r="DC120" s="341"/>
      <c r="DD120" s="341"/>
      <c r="DE120" s="341"/>
      <c r="DF120" s="341"/>
      <c r="DG120" s="341"/>
      <c r="DH120" s="341"/>
      <c r="DI120" s="341"/>
      <c r="DJ120" s="341"/>
      <c r="DK120" s="341"/>
      <c r="DL120" s="341"/>
      <c r="DM120" s="341"/>
      <c r="DN120" s="341"/>
      <c r="DO120" s="341"/>
      <c r="DP120" s="341"/>
      <c r="DQ120" s="341"/>
      <c r="DR120" s="341"/>
      <c r="DS120" s="341"/>
      <c r="DT120" s="341"/>
      <c r="DU120" s="341"/>
      <c r="DV120" s="341"/>
      <c r="DW120" s="341"/>
      <c r="DX120" s="341"/>
      <c r="DY120" s="341"/>
      <c r="DZ120" s="341"/>
      <c r="EA120" s="341"/>
      <c r="EB120" s="341"/>
      <c r="EC120" s="341"/>
      <c r="ED120" s="341"/>
      <c r="EE120" s="341"/>
      <c r="EF120" s="341"/>
      <c r="EG120" s="341"/>
      <c r="EH120" s="341"/>
      <c r="EI120" s="341"/>
      <c r="EJ120" s="341"/>
      <c r="EK120" s="341"/>
      <c r="EL120" s="341"/>
      <c r="EM120" s="341"/>
      <c r="EN120" s="341"/>
      <c r="EO120" s="341"/>
      <c r="EP120" s="341"/>
      <c r="EQ120" s="341"/>
      <c r="ER120" s="341"/>
      <c r="ES120" s="341"/>
      <c r="ET120" s="341"/>
      <c r="EU120" s="341"/>
      <c r="EV120" s="341"/>
      <c r="EW120" s="341"/>
      <c r="EX120" s="341"/>
      <c r="EY120" s="341"/>
      <c r="EZ120" s="341"/>
      <c r="FA120" s="341"/>
      <c r="FB120" s="341"/>
      <c r="FC120" s="341"/>
      <c r="FD120" s="341"/>
      <c r="FE120" s="341"/>
      <c r="FF120" s="341"/>
      <c r="FG120" s="341"/>
      <c r="FH120" s="341"/>
      <c r="FI120" s="341"/>
      <c r="FJ120" s="341"/>
      <c r="FK120" s="341"/>
      <c r="FL120" s="341"/>
      <c r="FM120" s="341"/>
      <c r="FN120" s="341"/>
      <c r="FO120" s="341"/>
      <c r="FP120" s="341"/>
      <c r="FQ120" s="341"/>
      <c r="FR120" s="9"/>
    </row>
    <row r="121" spans="2:174" s="1" customFormat="1" ht="15" x14ac:dyDescent="0.2">
      <c r="B121" s="77"/>
      <c r="C121" s="10"/>
      <c r="D121" s="22"/>
    </row>
    <row r="122" spans="2:174" s="1" customFormat="1" ht="15.75" x14ac:dyDescent="0.2">
      <c r="B122" s="78" t="s">
        <v>83</v>
      </c>
      <c r="C122" s="79"/>
      <c r="D122" s="80"/>
    </row>
    <row r="123" spans="2:174" s="1" customFormat="1" ht="15" customHeight="1" x14ac:dyDescent="0.2">
      <c r="B123" s="38" t="s">
        <v>84</v>
      </c>
      <c r="C123" s="23">
        <v>1.5</v>
      </c>
      <c r="D123" s="13">
        <f t="shared" ref="D123:D126" si="12">+$D$4*C123</f>
        <v>81841.89</v>
      </c>
    </row>
    <row r="124" spans="2:174" s="1" customFormat="1" ht="15" customHeight="1" x14ac:dyDescent="0.2">
      <c r="B124" s="38" t="s">
        <v>85</v>
      </c>
      <c r="C124" s="23">
        <v>1.5</v>
      </c>
      <c r="D124" s="13">
        <f t="shared" si="12"/>
        <v>81841.89</v>
      </c>
    </row>
    <row r="125" spans="2:174" s="1" customFormat="1" ht="30" customHeight="1" x14ac:dyDescent="0.2">
      <c r="B125" s="38" t="s">
        <v>86</v>
      </c>
      <c r="C125" s="23">
        <v>1.5</v>
      </c>
      <c r="D125" s="13">
        <f t="shared" si="12"/>
        <v>81841.89</v>
      </c>
    </row>
    <row r="126" spans="2:174" s="1" customFormat="1" ht="15" x14ac:dyDescent="0.2">
      <c r="B126" s="38" t="s">
        <v>87</v>
      </c>
      <c r="C126" s="23">
        <v>1.5</v>
      </c>
      <c r="D126" s="13">
        <f t="shared" si="12"/>
        <v>81841.89</v>
      </c>
    </row>
    <row r="127" spans="2:174" s="16" customFormat="1" ht="15" customHeight="1" x14ac:dyDescent="0.2">
      <c r="B127" s="77"/>
      <c r="C127" s="10"/>
      <c r="D127" s="22"/>
    </row>
    <row r="128" spans="2:174" s="16" customFormat="1" ht="15" customHeight="1" x14ac:dyDescent="0.2">
      <c r="B128" s="78" t="s">
        <v>88</v>
      </c>
      <c r="C128" s="79"/>
      <c r="D128" s="80"/>
    </row>
    <row r="129" spans="2:4" s="1" customFormat="1" ht="15" x14ac:dyDescent="0.2">
      <c r="B129" s="38" t="s">
        <v>89</v>
      </c>
      <c r="C129" s="23">
        <v>2</v>
      </c>
      <c r="D129" s="13">
        <f t="shared" ref="D129:D134" si="13">+$D$4*C129</f>
        <v>109122.52</v>
      </c>
    </row>
    <row r="130" spans="2:4" s="1" customFormat="1" ht="15" customHeight="1" x14ac:dyDescent="0.2">
      <c r="B130" s="38" t="s">
        <v>90</v>
      </c>
      <c r="C130" s="23">
        <v>2</v>
      </c>
      <c r="D130" s="13">
        <f t="shared" si="13"/>
        <v>109122.52</v>
      </c>
    </row>
    <row r="131" spans="2:4" s="1" customFormat="1" ht="15" x14ac:dyDescent="0.2">
      <c r="B131" s="38" t="s">
        <v>91</v>
      </c>
      <c r="C131" s="23">
        <v>2</v>
      </c>
      <c r="D131" s="13">
        <f t="shared" si="13"/>
        <v>109122.52</v>
      </c>
    </row>
    <row r="132" spans="2:4" s="1" customFormat="1" ht="15" x14ac:dyDescent="0.2">
      <c r="B132" s="38" t="s">
        <v>92</v>
      </c>
      <c r="C132" s="23">
        <v>1.9</v>
      </c>
      <c r="D132" s="13">
        <f t="shared" si="13"/>
        <v>103666.394</v>
      </c>
    </row>
    <row r="133" spans="2:4" s="1" customFormat="1" ht="15.6" customHeight="1" x14ac:dyDescent="0.2">
      <c r="B133" s="38" t="s">
        <v>93</v>
      </c>
      <c r="C133" s="23">
        <v>1.9</v>
      </c>
      <c r="D133" s="13">
        <f t="shared" si="13"/>
        <v>103666.394</v>
      </c>
    </row>
    <row r="134" spans="2:4" s="1" customFormat="1" ht="15" x14ac:dyDescent="0.2">
      <c r="B134" s="38" t="s">
        <v>94</v>
      </c>
      <c r="C134" s="23">
        <v>1.9</v>
      </c>
      <c r="D134" s="13">
        <f t="shared" si="13"/>
        <v>103666.394</v>
      </c>
    </row>
    <row r="135" spans="2:4" s="1" customFormat="1" ht="16.5" customHeight="1" x14ac:dyDescent="0.2">
      <c r="B135" s="43"/>
      <c r="C135" s="2"/>
      <c r="D135" s="3"/>
    </row>
    <row r="136" spans="2:4" s="1" customFormat="1" ht="15.75" customHeight="1" x14ac:dyDescent="0.2">
      <c r="B136" s="78" t="s">
        <v>95</v>
      </c>
      <c r="C136" s="79"/>
      <c r="D136" s="80"/>
    </row>
    <row r="137" spans="2:4" s="16" customFormat="1" ht="15" customHeight="1" x14ac:dyDescent="0.2">
      <c r="B137" s="38" t="s">
        <v>96</v>
      </c>
      <c r="C137" s="23">
        <v>2</v>
      </c>
      <c r="D137" s="13">
        <f t="shared" ref="D137:D139" si="14">+$D$4*C137</f>
        <v>109122.52</v>
      </c>
    </row>
    <row r="138" spans="2:4" s="16" customFormat="1" ht="15" customHeight="1" x14ac:dyDescent="0.2">
      <c r="B138" s="38" t="s">
        <v>97</v>
      </c>
      <c r="C138" s="23">
        <v>1.8</v>
      </c>
      <c r="D138" s="13">
        <f t="shared" si="14"/>
        <v>98210.268000000011</v>
      </c>
    </row>
    <row r="139" spans="2:4" s="16" customFormat="1" ht="15" customHeight="1" x14ac:dyDescent="0.2">
      <c r="B139" s="38" t="s">
        <v>98</v>
      </c>
      <c r="C139" s="23">
        <v>1.4</v>
      </c>
      <c r="D139" s="13">
        <f t="shared" si="14"/>
        <v>76385.763999999996</v>
      </c>
    </row>
    <row r="140" spans="2:4" s="47" customFormat="1" ht="15" x14ac:dyDescent="0.2">
      <c r="B140" s="44"/>
      <c r="C140" s="12"/>
      <c r="D140" s="4"/>
    </row>
    <row r="141" spans="2:4" s="47" customFormat="1" ht="16.899999999999999" customHeight="1" x14ac:dyDescent="0.2">
      <c r="B141" s="81" t="s">
        <v>99</v>
      </c>
      <c r="C141" s="82"/>
      <c r="D141" s="83"/>
    </row>
    <row r="142" spans="2:4" s="47" customFormat="1" ht="16.899999999999999" customHeight="1" x14ac:dyDescent="0.2">
      <c r="B142" s="41"/>
      <c r="C142" s="67"/>
      <c r="D142" s="62"/>
    </row>
    <row r="143" spans="2:4" s="47" customFormat="1" ht="15" x14ac:dyDescent="0.2">
      <c r="B143" s="37" t="s">
        <v>100</v>
      </c>
      <c r="C143" s="31">
        <v>2.5</v>
      </c>
      <c r="D143" s="13">
        <f t="shared" ref="D143:D149" si="15">+$D$4*C143</f>
        <v>136403.15</v>
      </c>
    </row>
    <row r="144" spans="2:4" s="34" customFormat="1" ht="15.75" customHeight="1" x14ac:dyDescent="0.25">
      <c r="B144" s="37" t="s">
        <v>101</v>
      </c>
      <c r="C144" s="31">
        <v>4</v>
      </c>
      <c r="D144" s="13">
        <f t="shared" si="15"/>
        <v>218245.04</v>
      </c>
    </row>
    <row r="145" spans="2:4" s="34" customFormat="1" ht="15.75" x14ac:dyDescent="0.25">
      <c r="B145" s="36" t="s">
        <v>102</v>
      </c>
      <c r="C145" s="31">
        <v>4</v>
      </c>
      <c r="D145" s="13">
        <f t="shared" si="15"/>
        <v>218245.04</v>
      </c>
    </row>
    <row r="146" spans="2:4" s="1" customFormat="1" ht="15" x14ac:dyDescent="0.2">
      <c r="B146" s="38" t="s">
        <v>103</v>
      </c>
      <c r="C146" s="23">
        <v>1.2</v>
      </c>
      <c r="D146" s="13">
        <f t="shared" si="15"/>
        <v>65473.512000000002</v>
      </c>
    </row>
    <row r="147" spans="2:4" s="1" customFormat="1" ht="30" x14ac:dyDescent="0.2">
      <c r="B147" s="38" t="s">
        <v>104</v>
      </c>
      <c r="C147" s="23">
        <v>2.5000000000000001E-2</v>
      </c>
      <c r="D147" s="13">
        <f t="shared" si="15"/>
        <v>1364.0315000000001</v>
      </c>
    </row>
    <row r="148" spans="2:4" s="1" customFormat="1" ht="15" x14ac:dyDescent="0.2">
      <c r="B148" s="38" t="s">
        <v>105</v>
      </c>
      <c r="C148" s="23">
        <v>1.2</v>
      </c>
      <c r="D148" s="13">
        <f t="shared" si="15"/>
        <v>65473.512000000002</v>
      </c>
    </row>
    <row r="149" spans="2:4" s="1" customFormat="1" ht="15" x14ac:dyDescent="0.2">
      <c r="B149" s="36" t="s">
        <v>106</v>
      </c>
      <c r="C149" s="31">
        <v>2</v>
      </c>
      <c r="D149" s="13">
        <f t="shared" si="15"/>
        <v>109122.52</v>
      </c>
    </row>
    <row r="150" spans="2:4" s="1" customFormat="1" ht="15" x14ac:dyDescent="0.2">
      <c r="B150" s="44"/>
      <c r="C150" s="12"/>
      <c r="D150" s="4"/>
    </row>
    <row r="151" spans="2:4" ht="16.899999999999999" customHeight="1" x14ac:dyDescent="0.2">
      <c r="B151" s="81" t="s">
        <v>126</v>
      </c>
      <c r="C151" s="82"/>
      <c r="D151" s="83"/>
    </row>
    <row r="152" spans="2:4" ht="16.899999999999999" customHeight="1" x14ac:dyDescent="0.2">
      <c r="B152" s="78" t="s">
        <v>107</v>
      </c>
      <c r="C152" s="79"/>
      <c r="D152" s="80"/>
    </row>
    <row r="153" spans="2:4" ht="15.75" x14ac:dyDescent="0.2">
      <c r="B153" s="33"/>
      <c r="C153" s="24"/>
      <c r="D153" s="25"/>
    </row>
    <row r="154" spans="2:4" ht="16.5" x14ac:dyDescent="0.2">
      <c r="B154" s="53" t="s">
        <v>123</v>
      </c>
      <c r="C154" s="54"/>
      <c r="D154" s="55"/>
    </row>
    <row r="155" spans="2:4" ht="15" x14ac:dyDescent="0.2">
      <c r="B155" s="118" t="s">
        <v>185</v>
      </c>
      <c r="C155" s="127">
        <v>1</v>
      </c>
      <c r="D155" s="32">
        <f>+$D$4*C155</f>
        <v>54561.26</v>
      </c>
    </row>
    <row r="156" spans="2:4" ht="15" x14ac:dyDescent="0.2">
      <c r="B156" s="118" t="s">
        <v>124</v>
      </c>
      <c r="C156" s="127">
        <v>1</v>
      </c>
      <c r="D156" s="32">
        <f>+$D$4*C156</f>
        <v>54561.26</v>
      </c>
    </row>
    <row r="157" spans="2:4" ht="15" x14ac:dyDescent="0.2">
      <c r="B157" s="118" t="s">
        <v>108</v>
      </c>
      <c r="C157" s="127">
        <v>1</v>
      </c>
      <c r="D157" s="32">
        <f>+$D$4*C157</f>
        <v>54561.26</v>
      </c>
    </row>
    <row r="158" spans="2:4" ht="15.75" x14ac:dyDescent="0.2">
      <c r="B158" s="33"/>
      <c r="C158" s="24"/>
      <c r="D158" s="25"/>
    </row>
    <row r="159" spans="2:4" ht="16.5" x14ac:dyDescent="0.2">
      <c r="B159" s="115" t="s">
        <v>119</v>
      </c>
      <c r="C159" s="116"/>
      <c r="D159" s="117"/>
    </row>
    <row r="160" spans="2:4" ht="15" x14ac:dyDescent="0.2">
      <c r="B160" s="118" t="s">
        <v>120</v>
      </c>
      <c r="C160" s="119">
        <v>0.01</v>
      </c>
      <c r="D160" s="120">
        <f>D4*C160</f>
        <v>545.61260000000004</v>
      </c>
    </row>
    <row r="161" spans="2:5" ht="15" x14ac:dyDescent="0.2">
      <c r="B161" s="118" t="s">
        <v>122</v>
      </c>
      <c r="C161" s="119">
        <v>5.0000000000000001E-3</v>
      </c>
      <c r="D161" s="120">
        <f>D4*C161</f>
        <v>272.80630000000002</v>
      </c>
    </row>
    <row r="162" spans="2:5" ht="15" x14ac:dyDescent="0.2">
      <c r="B162" s="118" t="s">
        <v>121</v>
      </c>
      <c r="C162" s="119">
        <v>4.0000000000000001E-3</v>
      </c>
      <c r="D162" s="120">
        <f>D4*C162</f>
        <v>218.24504000000002</v>
      </c>
    </row>
    <row r="163" spans="2:5" ht="15" x14ac:dyDescent="0.2">
      <c r="B163" s="121"/>
      <c r="C163" s="95"/>
      <c r="D163" s="109"/>
    </row>
    <row r="164" spans="2:5" ht="16.5" x14ac:dyDescent="0.2">
      <c r="B164" s="115" t="s">
        <v>110</v>
      </c>
      <c r="C164" s="116"/>
      <c r="D164" s="117"/>
    </row>
    <row r="165" spans="2:5" ht="15" x14ac:dyDescent="0.2">
      <c r="B165" s="122" t="s">
        <v>117</v>
      </c>
      <c r="C165" s="123">
        <v>1.4999999999999999E-2</v>
      </c>
      <c r="D165" s="124">
        <f>+$D$4*C165</f>
        <v>818.41890000000001</v>
      </c>
    </row>
    <row r="166" spans="2:5" ht="15" x14ac:dyDescent="0.2">
      <c r="B166" s="122" t="s">
        <v>118</v>
      </c>
      <c r="C166" s="125">
        <v>0.01</v>
      </c>
      <c r="D166" s="126">
        <f>+$D$4*C166</f>
        <v>545.61260000000004</v>
      </c>
    </row>
    <row r="168" spans="2:5" ht="16.5" x14ac:dyDescent="0.2">
      <c r="B168" s="142" t="s">
        <v>205</v>
      </c>
      <c r="C168" s="143"/>
      <c r="D168" s="143"/>
      <c r="E168" s="143"/>
    </row>
    <row r="169" spans="2:5" ht="23.25" customHeight="1" x14ac:dyDescent="0.2">
      <c r="B169" s="370" t="s">
        <v>207</v>
      </c>
      <c r="C169" s="371"/>
      <c r="D169" s="371"/>
      <c r="E169" s="371"/>
    </row>
    <row r="170" spans="2:5" ht="15.75" customHeight="1" x14ac:dyDescent="0.2">
      <c r="B170" s="144" t="s">
        <v>199</v>
      </c>
      <c r="C170" s="145"/>
      <c r="D170" s="144" t="s">
        <v>200</v>
      </c>
      <c r="E170" s="144"/>
    </row>
    <row r="171" spans="2:5" ht="12.75" customHeight="1" x14ac:dyDescent="0.2">
      <c r="B171" s="144" t="s">
        <v>201</v>
      </c>
      <c r="C171" s="145"/>
      <c r="D171" s="146">
        <f>D190</f>
        <v>36556.044200000004</v>
      </c>
      <c r="E171" s="144" t="s">
        <v>202</v>
      </c>
    </row>
    <row r="172" spans="2:5" ht="12.75" customHeight="1" x14ac:dyDescent="0.2">
      <c r="B172" s="144" t="s">
        <v>203</v>
      </c>
      <c r="C172" s="145"/>
      <c r="D172" s="146">
        <f>D191</f>
        <v>49105.134000000005</v>
      </c>
      <c r="E172" s="144" t="s">
        <v>202</v>
      </c>
    </row>
    <row r="173" spans="2:5" ht="13.5" customHeight="1" x14ac:dyDescent="0.2">
      <c r="B173" s="144" t="s">
        <v>204</v>
      </c>
      <c r="C173" s="145"/>
      <c r="D173" s="146">
        <f>D192</f>
        <v>61108.611200000007</v>
      </c>
      <c r="E173" s="144" t="s">
        <v>202</v>
      </c>
    </row>
    <row r="176" spans="2:5" ht="15.75" customHeight="1" x14ac:dyDescent="0.2">
      <c r="B176" s="44"/>
      <c r="C176" s="12"/>
      <c r="D176" s="4"/>
    </row>
    <row r="177" spans="2:6" ht="15" customHeight="1" x14ac:dyDescent="0.2">
      <c r="B177" s="375" t="s">
        <v>189</v>
      </c>
      <c r="C177" s="375"/>
      <c r="D177" s="4"/>
    </row>
    <row r="178" spans="2:6" ht="15" x14ac:dyDescent="0.2">
      <c r="B178" s="375"/>
      <c r="C178" s="375"/>
      <c r="D178" s="4"/>
    </row>
    <row r="179" spans="2:6" ht="15.75" thickBot="1" x14ac:dyDescent="0.25">
      <c r="B179" s="376"/>
      <c r="C179" s="376"/>
      <c r="D179" s="4"/>
    </row>
    <row r="180" spans="2:6" ht="13.5" thickBot="1" x14ac:dyDescent="0.25">
      <c r="B180" s="130" t="s">
        <v>190</v>
      </c>
      <c r="C180" s="131">
        <v>0.6</v>
      </c>
      <c r="D180" s="3">
        <f>+$D$4*$C180</f>
        <v>32736.756000000001</v>
      </c>
    </row>
    <row r="181" spans="2:6" ht="13.5" thickBot="1" x14ac:dyDescent="0.25">
      <c r="B181" s="132" t="s">
        <v>191</v>
      </c>
      <c r="C181" s="133">
        <v>0.8</v>
      </c>
      <c r="D181" s="3">
        <f t="shared" ref="D181:D185" si="16">+$D$4*$C181</f>
        <v>43649.008000000002</v>
      </c>
    </row>
    <row r="182" spans="2:6" ht="13.5" thickBot="1" x14ac:dyDescent="0.25">
      <c r="B182" s="132" t="s">
        <v>192</v>
      </c>
      <c r="C182" s="133">
        <v>1.2</v>
      </c>
      <c r="D182" s="3">
        <f t="shared" si="16"/>
        <v>65473.512000000002</v>
      </c>
    </row>
    <row r="183" spans="2:6" ht="13.5" thickBot="1" x14ac:dyDescent="0.25">
      <c r="B183" s="132" t="s">
        <v>193</v>
      </c>
      <c r="C183" s="133">
        <v>1.3</v>
      </c>
      <c r="D183" s="3">
        <f t="shared" si="16"/>
        <v>70929.638000000006</v>
      </c>
    </row>
    <row r="184" spans="2:6" ht="13.5" thickBot="1" x14ac:dyDescent="0.25">
      <c r="B184" s="132" t="s">
        <v>194</v>
      </c>
      <c r="C184" s="133">
        <v>1.4</v>
      </c>
      <c r="D184" s="3">
        <f t="shared" si="16"/>
        <v>76385.763999999996</v>
      </c>
    </row>
    <row r="185" spans="2:6" ht="13.5" thickBot="1" x14ac:dyDescent="0.25">
      <c r="B185" s="132" t="s">
        <v>195</v>
      </c>
      <c r="C185" s="133">
        <v>1.5</v>
      </c>
      <c r="D185" s="3">
        <f t="shared" si="16"/>
        <v>81841.89</v>
      </c>
    </row>
    <row r="186" spans="2:6" ht="13.5" thickBot="1" x14ac:dyDescent="0.25">
      <c r="B186" s="132" t="s">
        <v>208</v>
      </c>
      <c r="C186" s="132"/>
      <c r="D186" s="3">
        <v>0</v>
      </c>
    </row>
    <row r="188" spans="2:6" ht="42" customHeight="1" x14ac:dyDescent="0.2">
      <c r="B188" s="373" t="s">
        <v>206</v>
      </c>
      <c r="C188" s="374"/>
      <c r="D188" s="149"/>
      <c r="E188" s="149"/>
      <c r="F188" s="149"/>
    </row>
    <row r="189" spans="2:6" ht="15.75" thickBot="1" x14ac:dyDescent="0.25">
      <c r="B189" s="147" t="s">
        <v>198</v>
      </c>
      <c r="C189" s="135" t="s">
        <v>199</v>
      </c>
      <c r="D189" s="148" t="s">
        <v>292</v>
      </c>
      <c r="E189" s="135"/>
      <c r="F189" s="135" t="s">
        <v>291</v>
      </c>
    </row>
    <row r="190" spans="2:6" ht="15.75" thickBot="1" x14ac:dyDescent="0.25">
      <c r="B190" s="134">
        <v>1</v>
      </c>
      <c r="C190" s="135" t="s">
        <v>201</v>
      </c>
      <c r="D190" s="136">
        <f>$D$4*F190</f>
        <v>36556.044200000004</v>
      </c>
      <c r="E190" s="135" t="s">
        <v>202</v>
      </c>
      <c r="F190" s="135">
        <v>0.67</v>
      </c>
    </row>
    <row r="191" spans="2:6" ht="15.75" thickBot="1" x14ac:dyDescent="0.25">
      <c r="B191" s="134">
        <v>2</v>
      </c>
      <c r="C191" s="135" t="s">
        <v>203</v>
      </c>
      <c r="D191" s="136">
        <f t="shared" ref="D191:D192" si="17">$D$4*F191</f>
        <v>49105.134000000005</v>
      </c>
      <c r="E191" s="135" t="s">
        <v>202</v>
      </c>
      <c r="F191" s="135">
        <v>0.9</v>
      </c>
    </row>
    <row r="192" spans="2:6" ht="15.75" thickBot="1" x14ac:dyDescent="0.25">
      <c r="B192" s="134">
        <v>3</v>
      </c>
      <c r="C192" s="135" t="s">
        <v>204</v>
      </c>
      <c r="D192" s="136">
        <f t="shared" si="17"/>
        <v>61108.611200000007</v>
      </c>
      <c r="E192" s="135" t="s">
        <v>202</v>
      </c>
      <c r="F192" s="135">
        <v>1.1200000000000001</v>
      </c>
    </row>
    <row r="196" spans="2:10" ht="25.5" x14ac:dyDescent="0.2">
      <c r="B196" s="372" t="s">
        <v>211</v>
      </c>
      <c r="C196" s="372"/>
      <c r="D196" s="153" t="s">
        <v>212</v>
      </c>
    </row>
    <row r="197" spans="2:10" ht="15.75" thickBot="1" x14ac:dyDescent="0.25">
      <c r="B197" s="147" t="s">
        <v>198</v>
      </c>
      <c r="C197" s="151" t="s">
        <v>213</v>
      </c>
      <c r="D197" s="151" t="s">
        <v>214</v>
      </c>
    </row>
    <row r="198" spans="2:10" ht="15.75" thickBot="1" x14ac:dyDescent="0.25">
      <c r="B198" s="134">
        <v>1</v>
      </c>
      <c r="C198" s="151" t="s">
        <v>215</v>
      </c>
      <c r="D198" s="151" t="s">
        <v>216</v>
      </c>
    </row>
    <row r="199" spans="2:10" ht="15.75" thickBot="1" x14ac:dyDescent="0.25">
      <c r="B199" s="134">
        <v>2</v>
      </c>
      <c r="C199" s="151" t="s">
        <v>217</v>
      </c>
      <c r="D199" s="151" t="s">
        <v>218</v>
      </c>
    </row>
    <row r="200" spans="2:10" ht="15.75" thickBot="1" x14ac:dyDescent="0.25">
      <c r="B200" s="134">
        <v>3</v>
      </c>
      <c r="C200" s="151" t="s">
        <v>219</v>
      </c>
      <c r="D200" s="151" t="s">
        <v>220</v>
      </c>
    </row>
    <row r="201" spans="2:10" ht="15.75" thickBot="1" x14ac:dyDescent="0.25">
      <c r="B201" s="134">
        <v>4</v>
      </c>
      <c r="C201" s="151" t="s">
        <v>221</v>
      </c>
      <c r="D201" s="152" t="s">
        <v>222</v>
      </c>
    </row>
    <row r="203" spans="2:10" ht="13.5" thickBot="1" x14ac:dyDescent="0.25"/>
    <row r="204" spans="2:10" ht="13.5" thickBot="1" x14ac:dyDescent="0.25">
      <c r="B204" s="349" t="s">
        <v>232</v>
      </c>
      <c r="C204" s="350"/>
      <c r="D204" s="351"/>
      <c r="E204" s="355" t="s">
        <v>233</v>
      </c>
      <c r="F204" s="356"/>
      <c r="G204" s="356"/>
      <c r="H204" s="356"/>
      <c r="I204" s="357"/>
    </row>
    <row r="205" spans="2:10" ht="13.5" thickBot="1" x14ac:dyDescent="0.25">
      <c r="B205" s="352"/>
      <c r="C205" s="353"/>
      <c r="D205" s="354"/>
      <c r="E205" s="223" t="s">
        <v>227</v>
      </c>
      <c r="F205" s="223" t="s">
        <v>228</v>
      </c>
      <c r="G205" s="223" t="s">
        <v>229</v>
      </c>
      <c r="H205" s="223" t="s">
        <v>230</v>
      </c>
      <c r="I205" s="223" t="s">
        <v>231</v>
      </c>
      <c r="J205" s="228" t="s">
        <v>264</v>
      </c>
    </row>
    <row r="206" spans="2:10" ht="13.5" thickBot="1" x14ac:dyDescent="0.25">
      <c r="B206" s="358" t="s">
        <v>234</v>
      </c>
      <c r="C206" s="359"/>
      <c r="D206" s="224" t="s">
        <v>235</v>
      </c>
      <c r="E206" s="225">
        <v>1</v>
      </c>
      <c r="F206" s="225"/>
      <c r="G206" s="225"/>
      <c r="H206" s="225"/>
      <c r="I206" s="236"/>
      <c r="J206" s="150"/>
    </row>
    <row r="207" spans="2:10" ht="13.5" thickBot="1" x14ac:dyDescent="0.25">
      <c r="B207" s="360"/>
      <c r="C207" s="361"/>
      <c r="D207" s="224" t="s">
        <v>236</v>
      </c>
      <c r="E207" s="225">
        <v>1.1000000000000001</v>
      </c>
      <c r="F207" s="225"/>
      <c r="G207" s="225"/>
      <c r="H207" s="225"/>
      <c r="I207" s="236"/>
      <c r="J207" s="150"/>
    </row>
    <row r="208" spans="2:10" ht="13.5" thickBot="1" x14ac:dyDescent="0.25">
      <c r="B208" s="362"/>
      <c r="C208" s="363"/>
      <c r="D208" s="224" t="s">
        <v>237</v>
      </c>
      <c r="E208" s="225">
        <v>1.3</v>
      </c>
      <c r="F208" s="225"/>
      <c r="G208" s="225"/>
      <c r="H208" s="225"/>
      <c r="I208" s="236"/>
      <c r="J208" s="150"/>
    </row>
    <row r="209" spans="2:10" ht="51.75" thickBot="1" x14ac:dyDescent="0.25">
      <c r="B209" s="358" t="s">
        <v>238</v>
      </c>
      <c r="C209" s="359"/>
      <c r="D209" s="224" t="s">
        <v>239</v>
      </c>
      <c r="E209" s="225"/>
      <c r="F209" s="225">
        <v>1</v>
      </c>
      <c r="G209" s="225"/>
      <c r="H209" s="225"/>
      <c r="I209" s="236"/>
      <c r="J209" s="150"/>
    </row>
    <row r="210" spans="2:10" ht="51.75" thickBot="1" x14ac:dyDescent="0.25">
      <c r="B210" s="360"/>
      <c r="C210" s="361"/>
      <c r="D210" s="224" t="s">
        <v>240</v>
      </c>
      <c r="E210" s="225"/>
      <c r="F210" s="225">
        <v>1.1000000000000001</v>
      </c>
      <c r="G210" s="225"/>
      <c r="H210" s="225"/>
      <c r="I210" s="236"/>
      <c r="J210" s="150"/>
    </row>
    <row r="211" spans="2:10" ht="39" thickBot="1" x14ac:dyDescent="0.25">
      <c r="B211" s="360"/>
      <c r="C211" s="361"/>
      <c r="D211" s="224" t="s">
        <v>241</v>
      </c>
      <c r="E211" s="225"/>
      <c r="F211" s="225">
        <v>1</v>
      </c>
      <c r="G211" s="225"/>
      <c r="H211" s="225"/>
      <c r="I211" s="236"/>
      <c r="J211" s="150"/>
    </row>
    <row r="212" spans="2:10" ht="39" thickBot="1" x14ac:dyDescent="0.25">
      <c r="B212" s="360"/>
      <c r="C212" s="361"/>
      <c r="D212" s="224" t="s">
        <v>242</v>
      </c>
      <c r="E212" s="225"/>
      <c r="F212" s="225">
        <v>1.1000000000000001</v>
      </c>
      <c r="G212" s="225"/>
      <c r="H212" s="225"/>
      <c r="I212" s="236"/>
      <c r="J212" s="150"/>
    </row>
    <row r="213" spans="2:10" ht="51.75" thickBot="1" x14ac:dyDescent="0.25">
      <c r="B213" s="362"/>
      <c r="C213" s="363"/>
      <c r="D213" s="224" t="s">
        <v>243</v>
      </c>
      <c r="E213" s="225"/>
      <c r="F213" s="225">
        <v>1.3</v>
      </c>
      <c r="G213" s="225"/>
      <c r="H213" s="225"/>
      <c r="I213" s="236"/>
      <c r="J213" s="150"/>
    </row>
    <row r="214" spans="2:10" ht="13.5" thickBot="1" x14ac:dyDescent="0.25">
      <c r="B214" s="364" t="s">
        <v>244</v>
      </c>
      <c r="C214" s="367" t="s">
        <v>245</v>
      </c>
      <c r="D214" s="224" t="s">
        <v>246</v>
      </c>
      <c r="E214" s="225"/>
      <c r="F214" s="225"/>
      <c r="G214" s="225">
        <v>0.8</v>
      </c>
      <c r="H214" s="225"/>
      <c r="I214" s="236"/>
      <c r="J214" s="150"/>
    </row>
    <row r="215" spans="2:10" ht="13.5" thickBot="1" x14ac:dyDescent="0.25">
      <c r="B215" s="365"/>
      <c r="C215" s="368"/>
      <c r="D215" s="224" t="s">
        <v>247</v>
      </c>
      <c r="E215" s="225"/>
      <c r="F215" s="225"/>
      <c r="G215" s="225">
        <v>1</v>
      </c>
      <c r="H215" s="225"/>
      <c r="I215" s="236"/>
      <c r="J215" s="150"/>
    </row>
    <row r="216" spans="2:10" ht="13.5" thickBot="1" x14ac:dyDescent="0.25">
      <c r="B216" s="365"/>
      <c r="C216" s="369"/>
      <c r="D216" s="224" t="s">
        <v>248</v>
      </c>
      <c r="E216" s="225"/>
      <c r="F216" s="225"/>
      <c r="G216" s="225">
        <v>1.2</v>
      </c>
      <c r="H216" s="225"/>
      <c r="I216" s="236"/>
      <c r="J216" s="150"/>
    </row>
    <row r="217" spans="2:10" ht="13.5" thickBot="1" x14ac:dyDescent="0.25">
      <c r="B217" s="365"/>
      <c r="C217" s="367" t="s">
        <v>249</v>
      </c>
      <c r="D217" s="224" t="s">
        <v>246</v>
      </c>
      <c r="E217" s="225"/>
      <c r="F217" s="225"/>
      <c r="G217" s="225"/>
      <c r="H217" s="225">
        <v>0.8</v>
      </c>
      <c r="I217" s="236"/>
      <c r="J217" s="150"/>
    </row>
    <row r="218" spans="2:10" ht="13.5" thickBot="1" x14ac:dyDescent="0.25">
      <c r="B218" s="365"/>
      <c r="C218" s="368"/>
      <c r="D218" s="224" t="s">
        <v>250</v>
      </c>
      <c r="E218" s="225"/>
      <c r="F218" s="225"/>
      <c r="G218" s="225"/>
      <c r="H218" s="225">
        <v>1</v>
      </c>
      <c r="I218" s="236"/>
      <c r="J218" s="150"/>
    </row>
    <row r="219" spans="2:10" ht="13.5" thickBot="1" x14ac:dyDescent="0.25">
      <c r="B219" s="366"/>
      <c r="C219" s="369"/>
      <c r="D219" s="224" t="s">
        <v>248</v>
      </c>
      <c r="E219" s="225"/>
      <c r="F219" s="225"/>
      <c r="G219" s="225"/>
      <c r="H219" s="225">
        <v>1.2</v>
      </c>
      <c r="I219" s="236"/>
      <c r="J219" s="150"/>
    </row>
    <row r="220" spans="2:10" ht="39" thickBot="1" x14ac:dyDescent="0.25">
      <c r="B220" s="358" t="s">
        <v>251</v>
      </c>
      <c r="C220" s="359"/>
      <c r="D220" s="224" t="s">
        <v>252</v>
      </c>
      <c r="E220" s="225"/>
      <c r="F220" s="225"/>
      <c r="G220" s="225"/>
      <c r="H220" s="225"/>
      <c r="I220" s="236">
        <v>1</v>
      </c>
      <c r="J220" s="150"/>
    </row>
    <row r="221" spans="2:10" ht="26.25" thickBot="1" x14ac:dyDescent="0.25">
      <c r="B221" s="360"/>
      <c r="C221" s="361"/>
      <c r="D221" s="224" t="s">
        <v>253</v>
      </c>
      <c r="E221" s="225"/>
      <c r="F221" s="225"/>
      <c r="G221" s="225"/>
      <c r="H221" s="225"/>
      <c r="I221" s="236">
        <v>1.2</v>
      </c>
      <c r="J221" s="150"/>
    </row>
    <row r="222" spans="2:10" ht="26.25" thickBot="1" x14ac:dyDescent="0.25">
      <c r="B222" s="360"/>
      <c r="C222" s="361"/>
      <c r="D222" s="224" t="s">
        <v>254</v>
      </c>
      <c r="E222" s="225"/>
      <c r="F222" s="225"/>
      <c r="G222" s="225"/>
      <c r="H222" s="225"/>
      <c r="I222" s="236">
        <v>1.3</v>
      </c>
      <c r="J222" s="150"/>
    </row>
    <row r="223" spans="2:10" ht="90" thickBot="1" x14ac:dyDescent="0.25">
      <c r="B223" s="360"/>
      <c r="C223" s="361"/>
      <c r="D223" s="229" t="s">
        <v>255</v>
      </c>
      <c r="E223" s="230"/>
      <c r="F223" s="230"/>
      <c r="G223" s="230"/>
      <c r="H223" s="230"/>
      <c r="I223" s="237">
        <v>2</v>
      </c>
      <c r="J223" s="150"/>
    </row>
    <row r="224" spans="2:10" ht="29.25" customHeight="1" x14ac:dyDescent="0.2">
      <c r="B224" s="345" t="s">
        <v>260</v>
      </c>
      <c r="C224" s="346"/>
      <c r="D224" s="231" t="s">
        <v>265</v>
      </c>
      <c r="E224" s="232"/>
      <c r="F224" s="232"/>
      <c r="G224" s="232"/>
      <c r="H224" s="232"/>
      <c r="I224" s="232"/>
      <c r="J224" s="238">
        <f>('PLANILLA CALCULO DE HONORARIOS'!R40*('PLANILLA CALCULO DE HONORARIOS'!O42+6-'PLANILLA CALCULO DE HONORARIOS'!O43)/'PLANILLA CALCULO DE HONORARIOS'!O42)</f>
        <v>0</v>
      </c>
    </row>
    <row r="225" spans="2:10" ht="21.75" customHeight="1" thickBot="1" x14ac:dyDescent="0.25">
      <c r="B225" s="347"/>
      <c r="C225" s="348"/>
      <c r="D225" s="233" t="s">
        <v>266</v>
      </c>
      <c r="E225" s="234"/>
      <c r="F225" s="234"/>
      <c r="G225" s="234"/>
      <c r="H225" s="234"/>
      <c r="I225" s="234"/>
      <c r="J225" s="235">
        <f>'PLANILLA CALCULO DE HONORARIOS'!R40</f>
        <v>0</v>
      </c>
    </row>
  </sheetData>
  <mergeCells count="172">
    <mergeCell ref="B40:D40"/>
    <mergeCell ref="B21:D21"/>
    <mergeCell ref="B8:D8"/>
    <mergeCell ref="FA120:FQ120"/>
    <mergeCell ref="FA119:FQ119"/>
    <mergeCell ref="E120:H120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E113:H113"/>
    <mergeCell ref="I113:T113"/>
    <mergeCell ref="DS119:EI119"/>
    <mergeCell ref="EJ119:EZ119"/>
    <mergeCell ref="I120:T120"/>
    <mergeCell ref="FA112:FQ112"/>
    <mergeCell ref="EJ111:EZ111"/>
    <mergeCell ref="FA111:FQ111"/>
    <mergeCell ref="E112:H112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E111:H111"/>
    <mergeCell ref="I111:T111"/>
    <mergeCell ref="U111:AK111"/>
    <mergeCell ref="BT112:CJ112"/>
    <mergeCell ref="CK112:DA112"/>
    <mergeCell ref="DB112:DR112"/>
    <mergeCell ref="DS112:EI112"/>
    <mergeCell ref="EJ112:EZ11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E93:H93"/>
    <mergeCell ref="I93:T93"/>
    <mergeCell ref="U93:AK93"/>
    <mergeCell ref="DX103:EP103"/>
    <mergeCell ref="EQ103:FI103"/>
    <mergeCell ref="BS103:CK103"/>
    <mergeCell ref="CL103:DD103"/>
    <mergeCell ref="DE103:DW103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E44:H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U120:AK120"/>
    <mergeCell ref="AL120:BB120"/>
    <mergeCell ref="BC120:BS120"/>
    <mergeCell ref="DB113:DR113"/>
    <mergeCell ref="CK120:DA120"/>
    <mergeCell ref="DB120:DR120"/>
    <mergeCell ref="DS113:EI113"/>
    <mergeCell ref="DS118:EI118"/>
    <mergeCell ref="DB118:DR118"/>
    <mergeCell ref="CK118:DA118"/>
    <mergeCell ref="I118:T118"/>
    <mergeCell ref="E119:H119"/>
    <mergeCell ref="I119:T119"/>
    <mergeCell ref="U119:AK119"/>
    <mergeCell ref="AL119:BB119"/>
    <mergeCell ref="U118:AK118"/>
    <mergeCell ref="AL118:BB118"/>
    <mergeCell ref="BC118:BS118"/>
    <mergeCell ref="BT118:CJ118"/>
    <mergeCell ref="E118:H118"/>
    <mergeCell ref="FA90:FQ90"/>
    <mergeCell ref="EQ89:FI89"/>
    <mergeCell ref="FJ89:FR89"/>
    <mergeCell ref="B3:D3"/>
    <mergeCell ref="B1:D1"/>
    <mergeCell ref="B224:C225"/>
    <mergeCell ref="B204:D205"/>
    <mergeCell ref="E204:I204"/>
    <mergeCell ref="B206:C208"/>
    <mergeCell ref="B209:C213"/>
    <mergeCell ref="B214:B219"/>
    <mergeCell ref="C214:C216"/>
    <mergeCell ref="C217:C219"/>
    <mergeCell ref="B220:C223"/>
    <mergeCell ref="B169:E169"/>
    <mergeCell ref="B196:C196"/>
    <mergeCell ref="B188:C188"/>
    <mergeCell ref="B177:C179"/>
    <mergeCell ref="F3:G3"/>
    <mergeCell ref="E90:H90"/>
    <mergeCell ref="I90:T90"/>
    <mergeCell ref="F89:M89"/>
    <mergeCell ref="B2:D2"/>
    <mergeCell ref="B6:D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7"/>
  <sheetViews>
    <sheetView showGridLines="0" tabSelected="1" topLeftCell="A2" zoomScaleNormal="100" workbookViewId="0">
      <selection activeCell="A14" sqref="A14:C14"/>
    </sheetView>
  </sheetViews>
  <sheetFormatPr baseColWidth="10" defaultRowHeight="12.75" x14ac:dyDescent="0.2"/>
  <cols>
    <col min="1" max="1" width="13.28515625" style="137" customWidth="1"/>
    <col min="2" max="2" width="18.7109375" style="137" customWidth="1"/>
    <col min="3" max="3" width="8" style="137" customWidth="1"/>
    <col min="4" max="4" width="18.28515625" style="137" customWidth="1"/>
    <col min="5" max="5" width="9.140625" style="137" customWidth="1"/>
    <col min="6" max="6" width="22.140625" style="137" customWidth="1"/>
    <col min="7" max="7" width="13.5703125" style="137" customWidth="1"/>
    <col min="8" max="8" width="26.42578125" style="137" customWidth="1"/>
    <col min="9" max="10" width="16.42578125" style="137" customWidth="1"/>
    <col min="11" max="11" width="14.28515625" style="137" customWidth="1"/>
    <col min="12" max="12" width="14.7109375" style="137" customWidth="1"/>
    <col min="13" max="13" width="15.5703125" style="137" customWidth="1"/>
    <col min="14" max="14" width="19.140625" customWidth="1"/>
    <col min="15" max="15" width="32.7109375" customWidth="1"/>
    <col min="16" max="16" width="18.140625" customWidth="1"/>
    <col min="17" max="17" width="15.85546875" customWidth="1"/>
    <col min="18" max="18" width="24.140625" customWidth="1"/>
    <col min="19" max="19" width="11.28515625" customWidth="1"/>
    <col min="20" max="20" width="13.28515625" customWidth="1"/>
    <col min="21" max="21" width="7.42578125" customWidth="1"/>
    <col min="22" max="22" width="17.28515625" customWidth="1"/>
    <col min="23" max="23" width="14.28515625" customWidth="1"/>
    <col min="24" max="24" width="9.85546875" customWidth="1"/>
    <col min="25" max="25" width="17.5703125" customWidth="1"/>
    <col min="26" max="26" width="16.7109375" customWidth="1"/>
  </cols>
  <sheetData>
    <row r="1" spans="1:28" x14ac:dyDescent="0.2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8"/>
      <c r="M1" s="158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8"/>
      <c r="M2" s="158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8"/>
      <c r="M3" s="158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</row>
    <row r="4" spans="1:28" ht="13.5" thickBo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8"/>
      <c r="M4" s="158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1:28" ht="16.5" customHeight="1" thickBot="1" x14ac:dyDescent="0.3">
      <c r="A5" s="302" t="s">
        <v>149</v>
      </c>
      <c r="B5" s="303"/>
      <c r="C5" s="304"/>
      <c r="D5" s="304"/>
      <c r="E5" s="305"/>
      <c r="F5" s="304" t="s">
        <v>129</v>
      </c>
      <c r="G5" s="304"/>
      <c r="H5" s="313">
        <f>+'TABLA DE INDICES'!D4</f>
        <v>54561.26</v>
      </c>
      <c r="I5" s="400" t="s">
        <v>284</v>
      </c>
      <c r="J5" s="401"/>
      <c r="K5" s="159">
        <f>H5*0.03</f>
        <v>1636.8378</v>
      </c>
      <c r="L5" s="154"/>
      <c r="M5" s="158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1:28" ht="16.5" customHeight="1" x14ac:dyDescent="0.2">
      <c r="A6" s="402" t="s">
        <v>290</v>
      </c>
      <c r="B6" s="402"/>
      <c r="C6" s="402"/>
      <c r="D6" s="402"/>
      <c r="E6" s="402"/>
      <c r="F6" s="402"/>
      <c r="G6" s="402"/>
      <c r="H6" s="402"/>
      <c r="I6" s="154"/>
      <c r="J6" s="154"/>
      <c r="K6" s="154"/>
      <c r="L6" s="154"/>
      <c r="M6" s="158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1:28" ht="16.5" customHeight="1" thickBot="1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8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</row>
    <row r="8" spans="1:28" ht="30" customHeight="1" thickBot="1" x14ac:dyDescent="0.25">
      <c r="A8" s="411" t="s">
        <v>277</v>
      </c>
      <c r="B8" s="412"/>
      <c r="C8" s="412"/>
      <c r="D8" s="412"/>
      <c r="E8" s="412"/>
      <c r="F8" s="412"/>
      <c r="G8" s="412"/>
      <c r="H8" s="413"/>
      <c r="I8" s="158"/>
      <c r="J8" s="158"/>
      <c r="K8" s="411" t="s">
        <v>276</v>
      </c>
      <c r="L8" s="412"/>
      <c r="M8" s="412"/>
      <c r="N8" s="412"/>
      <c r="O8" s="412"/>
      <c r="P8" s="412"/>
      <c r="Q8" s="412"/>
      <c r="R8" s="413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1:28" ht="43.9" customHeight="1" thickBot="1" x14ac:dyDescent="0.25">
      <c r="A9" s="426" t="s">
        <v>136</v>
      </c>
      <c r="B9" s="427"/>
      <c r="C9" s="428"/>
      <c r="D9" s="308" t="s">
        <v>142</v>
      </c>
      <c r="E9" s="227" t="s">
        <v>139</v>
      </c>
      <c r="F9" s="222" t="s">
        <v>113</v>
      </c>
      <c r="G9" s="222" t="s">
        <v>141</v>
      </c>
      <c r="H9" s="307" t="s">
        <v>0</v>
      </c>
      <c r="I9" s="158"/>
      <c r="J9" s="154"/>
      <c r="K9" s="414" t="s">
        <v>136</v>
      </c>
      <c r="L9" s="415"/>
      <c r="M9" s="416"/>
      <c r="N9" s="308" t="s">
        <v>142</v>
      </c>
      <c r="O9" s="227" t="s">
        <v>280</v>
      </c>
      <c r="P9" s="222" t="s">
        <v>113</v>
      </c>
      <c r="Q9" s="222" t="s">
        <v>141</v>
      </c>
      <c r="R9" s="307" t="s">
        <v>0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</row>
    <row r="10" spans="1:28" ht="30" customHeight="1" thickBot="1" x14ac:dyDescent="0.25">
      <c r="A10" s="388" t="s">
        <v>3</v>
      </c>
      <c r="B10" s="389"/>
      <c r="C10" s="390"/>
      <c r="D10" s="138" t="s">
        <v>137</v>
      </c>
      <c r="E10" s="160">
        <f>+VLOOKUP(D10,TIPOINTERV[],2,FALSE )</f>
        <v>1</v>
      </c>
      <c r="F10" s="161">
        <f>IF(A10=0,0,+VLOOKUP(A10,'TABLA DE INDICES'!$B$7:$D$176,3,FALSE))</f>
        <v>0</v>
      </c>
      <c r="G10" s="139">
        <v>0</v>
      </c>
      <c r="H10" s="162">
        <f>(F10*G10)*E10</f>
        <v>0</v>
      </c>
      <c r="I10" s="158"/>
      <c r="J10" s="158"/>
      <c r="K10" s="460" t="s">
        <v>55</v>
      </c>
      <c r="L10" s="461"/>
      <c r="M10" s="462"/>
      <c r="N10" s="316" t="s">
        <v>224</v>
      </c>
      <c r="O10" s="160">
        <v>1</v>
      </c>
      <c r="P10" s="161">
        <f>IF(K10=0,0,+VLOOKUP(K10,'TABLA DE INDICES'!B7:D176,3,FALSE))</f>
        <v>109122.52</v>
      </c>
      <c r="Q10" s="139"/>
      <c r="R10" s="162">
        <f>(P10*Q10)*O10</f>
        <v>0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</row>
    <row r="11" spans="1:28" ht="30" customHeight="1" thickBot="1" x14ac:dyDescent="0.25">
      <c r="A11" s="388" t="s">
        <v>204</v>
      </c>
      <c r="B11" s="389"/>
      <c r="C11" s="390"/>
      <c r="D11" s="138" t="s">
        <v>137</v>
      </c>
      <c r="E11" s="163">
        <f>+VLOOKUP(D11,TIPOINTERV[],2,FALSE )</f>
        <v>1</v>
      </c>
      <c r="F11" s="161">
        <f>IF(A11=0,0,+VLOOKUP(A11,'TABLA DE INDICES'!$B$7:$D$176,3,FALSE))</f>
        <v>61108.611200000007</v>
      </c>
      <c r="G11" s="140">
        <v>0</v>
      </c>
      <c r="H11" s="162">
        <f t="shared" ref="H11:H12" si="0">(F11*G11)*E11</f>
        <v>0</v>
      </c>
      <c r="I11" s="158"/>
      <c r="J11" s="158"/>
      <c r="K11" s="460" t="s">
        <v>13</v>
      </c>
      <c r="L11" s="461"/>
      <c r="M11" s="462"/>
      <c r="N11" s="316" t="s">
        <v>224</v>
      </c>
      <c r="O11" s="160">
        <v>1</v>
      </c>
      <c r="P11" s="161">
        <f>IF(K11=0,0,+VLOOKUP(K11,'TABLA DE INDICES'!B8:D177,3,FALSE))</f>
        <v>70929.638000000006</v>
      </c>
      <c r="Q11" s="139">
        <v>0</v>
      </c>
      <c r="R11" s="162">
        <f>(P11*Q11)*O11</f>
        <v>0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</row>
    <row r="12" spans="1:28" ht="36.75" customHeight="1" thickBot="1" x14ac:dyDescent="0.25">
      <c r="A12" s="388" t="s">
        <v>204</v>
      </c>
      <c r="B12" s="389"/>
      <c r="C12" s="390"/>
      <c r="D12" s="138" t="s">
        <v>137</v>
      </c>
      <c r="E12" s="163">
        <f>+VLOOKUP(D12,TIPOINTERV[],2,FALSE )</f>
        <v>1</v>
      </c>
      <c r="F12" s="161">
        <f>IF(A12=0,0,+VLOOKUP(A12,'TABLA DE INDICES'!$B$7:$D$176,3,FALSE))</f>
        <v>61108.611200000007</v>
      </c>
      <c r="G12" s="140">
        <v>0</v>
      </c>
      <c r="H12" s="162">
        <f t="shared" si="0"/>
        <v>0</v>
      </c>
      <c r="I12" s="155"/>
      <c r="J12" s="156"/>
      <c r="K12" s="460" t="s">
        <v>102</v>
      </c>
      <c r="L12" s="461"/>
      <c r="M12" s="462"/>
      <c r="N12" s="316" t="s">
        <v>224</v>
      </c>
      <c r="O12" s="163">
        <v>1</v>
      </c>
      <c r="P12" s="164">
        <f>IF(K12=0,0,+VLOOKUP(K12,'TABLA DE INDICES'!B9:D178,3,FALSE))</f>
        <v>218245.04</v>
      </c>
      <c r="Q12" s="140">
        <v>0</v>
      </c>
      <c r="R12" s="162">
        <f>(P12*Q12)*O12</f>
        <v>0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</row>
    <row r="13" spans="1:28" ht="34.5" customHeight="1" thickBot="1" x14ac:dyDescent="0.25">
      <c r="A13" s="388" t="s">
        <v>4</v>
      </c>
      <c r="B13" s="389"/>
      <c r="C13" s="390"/>
      <c r="D13" s="138" t="s">
        <v>137</v>
      </c>
      <c r="E13" s="163">
        <f>+VLOOKUP(D13,TIPOINTERV[],2,FALSE )</f>
        <v>1</v>
      </c>
      <c r="F13" s="161">
        <f>IF(A13=0,0,+VLOOKUP(A13,'TABLA DE INDICES'!$B$7:$D$176,3,FALSE))</f>
        <v>54561.26</v>
      </c>
      <c r="G13" s="140">
        <v>0</v>
      </c>
      <c r="H13" s="162">
        <f t="shared" ref="H13:H15" si="1">(F13*G13)*E13</f>
        <v>0</v>
      </c>
      <c r="I13" s="155"/>
      <c r="J13" s="156"/>
      <c r="K13" s="420" t="s">
        <v>150</v>
      </c>
      <c r="L13" s="421"/>
      <c r="M13" s="422"/>
      <c r="N13" s="317" t="s">
        <v>224</v>
      </c>
      <c r="O13" s="163">
        <v>1</v>
      </c>
      <c r="P13" s="141">
        <v>0</v>
      </c>
      <c r="Q13" s="165" t="s">
        <v>151</v>
      </c>
      <c r="R13" s="166">
        <f>+P13*O13</f>
        <v>0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1:28" ht="31.5" customHeight="1" thickBot="1" x14ac:dyDescent="0.25">
      <c r="A14" s="388" t="s">
        <v>7</v>
      </c>
      <c r="B14" s="389"/>
      <c r="C14" s="390"/>
      <c r="D14" s="138" t="s">
        <v>137</v>
      </c>
      <c r="E14" s="163">
        <f>+VLOOKUP(D14,TIPOINTERV[],2,FALSE )</f>
        <v>1</v>
      </c>
      <c r="F14" s="161">
        <f>IF(A14=0,0,+VLOOKUP(A14,'TABLA DE INDICES'!$B$7:$D$176,3,FALSE))</f>
        <v>81841.89</v>
      </c>
      <c r="G14" s="140">
        <v>0</v>
      </c>
      <c r="H14" s="162">
        <f t="shared" ref="H14" si="2">(F14*G14)*E14</f>
        <v>0</v>
      </c>
      <c r="I14" s="155"/>
      <c r="J14" s="156"/>
      <c r="K14" s="254"/>
      <c r="L14" s="250"/>
      <c r="M14" s="255"/>
      <c r="N14" s="250"/>
      <c r="O14" s="250"/>
      <c r="P14" s="299" t="s">
        <v>127</v>
      </c>
      <c r="Q14" s="298" t="s">
        <v>225</v>
      </c>
      <c r="R14" s="300">
        <f>+R12+R10+R11+R13</f>
        <v>0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</row>
    <row r="15" spans="1:28" ht="33" customHeight="1" thickBot="1" x14ac:dyDescent="0.25">
      <c r="A15" s="388" t="s">
        <v>4</v>
      </c>
      <c r="B15" s="389"/>
      <c r="C15" s="390"/>
      <c r="D15" s="138" t="s">
        <v>137</v>
      </c>
      <c r="E15" s="163">
        <f>+VLOOKUP(D15,TIPOINTERV[],2,FALSE )</f>
        <v>1</v>
      </c>
      <c r="F15" s="161">
        <f>IF(A15=0,0,+VLOOKUP(A15,'TABLA DE INDICES'!$B$7:$D$176,3,FALSE))</f>
        <v>54561.26</v>
      </c>
      <c r="G15" s="140">
        <v>0</v>
      </c>
      <c r="H15" s="162">
        <f t="shared" si="1"/>
        <v>0</v>
      </c>
      <c r="I15" s="155"/>
      <c r="J15" s="156"/>
      <c r="K15" s="417" t="s">
        <v>271</v>
      </c>
      <c r="L15" s="418"/>
      <c r="M15" s="418"/>
      <c r="N15" s="418"/>
      <c r="O15" s="418"/>
      <c r="P15" s="418"/>
      <c r="Q15" s="418"/>
      <c r="R15" s="419"/>
      <c r="S15" s="251" t="s">
        <v>177</v>
      </c>
      <c r="T15" s="157"/>
      <c r="U15" s="154"/>
      <c r="V15" s="154"/>
      <c r="W15" s="154"/>
      <c r="X15" s="154"/>
      <c r="Y15" s="154"/>
      <c r="Z15" s="154"/>
      <c r="AA15" s="154"/>
      <c r="AB15" s="154"/>
    </row>
    <row r="16" spans="1:28" ht="36" customHeight="1" thickBot="1" x14ac:dyDescent="0.25">
      <c r="A16" s="397" t="s">
        <v>150</v>
      </c>
      <c r="B16" s="398"/>
      <c r="C16" s="399"/>
      <c r="D16" s="138" t="s">
        <v>137</v>
      </c>
      <c r="E16" s="160">
        <f>+VLOOKUP(D16,TIPOINTERV[],2,FALSE )</f>
        <v>1</v>
      </c>
      <c r="F16" s="141">
        <v>0</v>
      </c>
      <c r="G16" s="165" t="s">
        <v>151</v>
      </c>
      <c r="H16" s="166">
        <f>+F16*E16</f>
        <v>0</v>
      </c>
      <c r="I16" s="154"/>
      <c r="J16" s="154"/>
      <c r="K16" s="169" t="s">
        <v>114</v>
      </c>
      <c r="L16" s="170"/>
      <c r="M16" s="171"/>
      <c r="N16" s="172">
        <f>IF($L$17&lt;$R$14,$L$17,$R$14)</f>
        <v>0</v>
      </c>
      <c r="O16" s="173">
        <f>+'TABLA DE INDICES'!$F$5</f>
        <v>0.1</v>
      </c>
      <c r="P16" s="174">
        <f t="shared" ref="P16:P22" si="3">IF(N16=0,0,(N16-L16)*O16)</f>
        <v>0</v>
      </c>
      <c r="Q16" s="175"/>
      <c r="R16" s="256"/>
      <c r="S16" s="252">
        <f>+'TABLA DE INDICES'!$G$5</f>
        <v>0</v>
      </c>
      <c r="T16" s="157"/>
      <c r="U16" s="154"/>
      <c r="V16" s="154"/>
      <c r="W16" s="154"/>
      <c r="X16" s="154"/>
      <c r="Y16" s="154"/>
      <c r="Z16" s="154"/>
      <c r="AA16" s="154"/>
      <c r="AB16" s="154"/>
    </row>
    <row r="17" spans="1:28" ht="36" customHeight="1" thickBot="1" x14ac:dyDescent="0.25">
      <c r="A17" s="397" t="s">
        <v>208</v>
      </c>
      <c r="B17" s="398"/>
      <c r="C17" s="399"/>
      <c r="D17" s="239" t="s">
        <v>288</v>
      </c>
      <c r="E17" s="163">
        <v>1</v>
      </c>
      <c r="F17" s="164">
        <f>IF(A17=0,0,+VLOOKUP(A17,'TABLA DE INDICES'!B176:D186,3,FALSE))</f>
        <v>0</v>
      </c>
      <c r="G17" s="338" t="s">
        <v>151</v>
      </c>
      <c r="H17" s="166">
        <f>E17*F17</f>
        <v>0</v>
      </c>
      <c r="I17" s="154"/>
      <c r="J17" s="154"/>
      <c r="K17" s="177" t="s">
        <v>173</v>
      </c>
      <c r="L17" s="178">
        <f t="shared" ref="L17:L22" si="4">$H$5*S17</f>
        <v>3273675.6</v>
      </c>
      <c r="M17" s="179" t="s">
        <v>1</v>
      </c>
      <c r="N17" s="180">
        <f>IF($L$17&gt;$N$16,0,IF($L$18&lt;R$14,$B$22,R$14))</f>
        <v>0</v>
      </c>
      <c r="O17" s="181">
        <f>+'TABLA DE INDICES'!$F$6</f>
        <v>0.08</v>
      </c>
      <c r="P17" s="182">
        <f t="shared" si="3"/>
        <v>0</v>
      </c>
      <c r="Q17" s="183"/>
      <c r="R17" s="257"/>
      <c r="S17" s="252">
        <f>+'TABLA DE INDICES'!$G$6</f>
        <v>60</v>
      </c>
      <c r="T17" s="157"/>
      <c r="U17" s="154"/>
      <c r="V17" s="154"/>
      <c r="W17" s="154"/>
      <c r="X17" s="154"/>
      <c r="Y17" s="154"/>
      <c r="Z17" s="154"/>
      <c r="AA17" s="154"/>
      <c r="AB17" s="154"/>
    </row>
    <row r="18" spans="1:28" ht="21" customHeight="1" thickBot="1" x14ac:dyDescent="0.3">
      <c r="A18" s="315"/>
      <c r="B18" s="167"/>
      <c r="C18" s="167"/>
      <c r="D18" s="167"/>
      <c r="E18" s="168"/>
      <c r="F18" s="336" t="s">
        <v>127</v>
      </c>
      <c r="G18" s="339" t="s">
        <v>128</v>
      </c>
      <c r="H18" s="337">
        <f>SUM(H10:H16)</f>
        <v>0</v>
      </c>
      <c r="I18" s="154"/>
      <c r="J18" s="154"/>
      <c r="K18" s="177" t="s">
        <v>173</v>
      </c>
      <c r="L18" s="178">
        <f t="shared" si="4"/>
        <v>6547351.2000000002</v>
      </c>
      <c r="M18" s="179" t="s">
        <v>1</v>
      </c>
      <c r="N18" s="180">
        <f>IF($L$18&gt;$N$17,0,IF($L$19&lt;R$14,$L$19,R$14))</f>
        <v>0</v>
      </c>
      <c r="O18" s="181">
        <f>+'TABLA DE INDICES'!$F$7</f>
        <v>7.0000000000000007E-2</v>
      </c>
      <c r="P18" s="182">
        <f t="shared" si="3"/>
        <v>0</v>
      </c>
      <c r="Q18" s="183"/>
      <c r="R18" s="258"/>
      <c r="S18" s="252">
        <f>+'TABLA DE INDICES'!$G$7</f>
        <v>120</v>
      </c>
      <c r="T18" s="157"/>
      <c r="U18" s="154"/>
      <c r="V18" s="154"/>
      <c r="W18" s="154"/>
      <c r="X18" s="154"/>
      <c r="Y18" s="154"/>
      <c r="Z18" s="154"/>
      <c r="AA18" s="154"/>
      <c r="AB18" s="154"/>
    </row>
    <row r="19" spans="1:28" ht="31.5" customHeight="1" thickBot="1" x14ac:dyDescent="0.25">
      <c r="A19" s="417" t="s">
        <v>273</v>
      </c>
      <c r="B19" s="418"/>
      <c r="C19" s="418"/>
      <c r="D19" s="418"/>
      <c r="E19" s="418"/>
      <c r="F19" s="418"/>
      <c r="G19" s="437"/>
      <c r="H19" s="419"/>
      <c r="I19" s="281" t="s">
        <v>177</v>
      </c>
      <c r="J19" s="157"/>
      <c r="K19" s="177" t="s">
        <v>173</v>
      </c>
      <c r="L19" s="178">
        <f t="shared" si="4"/>
        <v>13094702.4</v>
      </c>
      <c r="M19" s="179" t="s">
        <v>1</v>
      </c>
      <c r="N19" s="180">
        <f>IF($L$19&gt;$N$18,0,IF($L$20&lt;R$14,$L$20,R$14))</f>
        <v>0</v>
      </c>
      <c r="O19" s="181">
        <f>+'TABLA DE INDICES'!$F$8</f>
        <v>0.05</v>
      </c>
      <c r="P19" s="182">
        <f t="shared" si="3"/>
        <v>0</v>
      </c>
      <c r="Q19" s="183"/>
      <c r="R19" s="259"/>
      <c r="S19" s="252">
        <f>+'TABLA DE INDICES'!$G$8</f>
        <v>240</v>
      </c>
      <c r="T19" s="157"/>
      <c r="U19" s="154"/>
      <c r="V19" s="154"/>
      <c r="W19" s="154"/>
      <c r="X19" s="154"/>
      <c r="Y19" s="154"/>
      <c r="Z19" s="154"/>
      <c r="AA19" s="154"/>
      <c r="AB19" s="154"/>
    </row>
    <row r="20" spans="1:28" x14ac:dyDescent="0.2">
      <c r="A20" s="169" t="s">
        <v>114</v>
      </c>
      <c r="B20" s="170">
        <v>0</v>
      </c>
      <c r="C20" s="171"/>
      <c r="D20" s="172">
        <f>IF($B$21&lt;$H$18,$B$21,$H$18)</f>
        <v>0</v>
      </c>
      <c r="E20" s="173">
        <f>+'TABLA DE INDICES'!$F$5</f>
        <v>0.1</v>
      </c>
      <c r="F20" s="174">
        <f>IF(D20=0,0,(D20-B20)*E20)</f>
        <v>0</v>
      </c>
      <c r="G20" s="175"/>
      <c r="H20" s="256"/>
      <c r="I20" s="176">
        <f>+'TABLA DE INDICES'!$G$5</f>
        <v>0</v>
      </c>
      <c r="J20" s="157"/>
      <c r="K20" s="177" t="s">
        <v>173</v>
      </c>
      <c r="L20" s="178">
        <f t="shared" si="4"/>
        <v>261894048</v>
      </c>
      <c r="M20" s="179" t="s">
        <v>1</v>
      </c>
      <c r="N20" s="180">
        <f>IF($L$20&gt;$N$19,0,IF($L$21&lt;R$14,$L$21,R$14))</f>
        <v>0</v>
      </c>
      <c r="O20" s="181">
        <f>+'TABLA DE INDICES'!$F$9</f>
        <v>0.04</v>
      </c>
      <c r="P20" s="182">
        <f t="shared" si="3"/>
        <v>0</v>
      </c>
      <c r="Q20" s="183"/>
      <c r="R20" s="260"/>
      <c r="S20" s="252">
        <f>+'TABLA DE INDICES'!$G$9</f>
        <v>4800</v>
      </c>
      <c r="T20" s="157"/>
      <c r="U20" s="154"/>
      <c r="V20" s="154"/>
      <c r="W20" s="154"/>
      <c r="X20" s="154"/>
      <c r="Y20" s="154"/>
      <c r="Z20" s="154"/>
      <c r="AA20" s="154"/>
      <c r="AB20" s="154"/>
    </row>
    <row r="21" spans="1:28" x14ac:dyDescent="0.2">
      <c r="A21" s="177" t="s">
        <v>173</v>
      </c>
      <c r="B21" s="178">
        <f t="shared" ref="B21:B26" si="5">$H$5*I21</f>
        <v>3273675.6</v>
      </c>
      <c r="C21" s="179" t="s">
        <v>1</v>
      </c>
      <c r="D21" s="180">
        <f>IF($B$21&gt;$D$20,0,IF($B$22&lt;H$18,$B$22,H$18))</f>
        <v>0</v>
      </c>
      <c r="E21" s="181">
        <f>+'TABLA DE INDICES'!$F$6</f>
        <v>0.08</v>
      </c>
      <c r="F21" s="182">
        <f t="shared" ref="F21:F26" si="6">IF(D21=0,0,(D21-B21)*E21)</f>
        <v>0</v>
      </c>
      <c r="G21" s="183"/>
      <c r="H21" s="280"/>
      <c r="I21" s="176">
        <f>+'TABLA DE INDICES'!$G$6</f>
        <v>60</v>
      </c>
      <c r="J21" s="157"/>
      <c r="K21" s="177" t="s">
        <v>173</v>
      </c>
      <c r="L21" s="178">
        <f t="shared" si="4"/>
        <v>545612600</v>
      </c>
      <c r="M21" s="179" t="s">
        <v>1</v>
      </c>
      <c r="N21" s="180">
        <f>IF($L$21&gt;$N$20,0,IF($L$22&lt;R$14,$L$22,R$14))</f>
        <v>0</v>
      </c>
      <c r="O21" s="181">
        <f>+'TABLA DE INDICES'!$F$10</f>
        <v>0.03</v>
      </c>
      <c r="P21" s="182">
        <f t="shared" si="3"/>
        <v>0</v>
      </c>
      <c r="Q21" s="183"/>
      <c r="R21" s="261"/>
      <c r="S21" s="252">
        <f>+'TABLA DE INDICES'!$G$10</f>
        <v>10000</v>
      </c>
      <c r="T21" s="157"/>
      <c r="U21" s="154"/>
      <c r="V21" s="154"/>
      <c r="W21" s="154"/>
      <c r="X21" s="154"/>
      <c r="Y21" s="154"/>
      <c r="Z21" s="154"/>
      <c r="AA21" s="154"/>
      <c r="AB21" s="154"/>
    </row>
    <row r="22" spans="1:28" ht="13.5" thickBot="1" x14ac:dyDescent="0.25">
      <c r="A22" s="177" t="s">
        <v>173</v>
      </c>
      <c r="B22" s="178">
        <f t="shared" si="5"/>
        <v>6547351.2000000002</v>
      </c>
      <c r="C22" s="179" t="s">
        <v>1</v>
      </c>
      <c r="D22" s="180">
        <f>IF($B$22&gt;$D$21,0,IF($B$23&lt;H$18,$B$23,H$18))</f>
        <v>0</v>
      </c>
      <c r="E22" s="181">
        <f>+'TABLA DE INDICES'!$F$7</f>
        <v>7.0000000000000007E-2</v>
      </c>
      <c r="F22" s="182">
        <f t="shared" si="6"/>
        <v>0</v>
      </c>
      <c r="G22" s="183"/>
      <c r="H22" s="258"/>
      <c r="I22" s="176">
        <f>+'TABLA DE INDICES'!$G$7</f>
        <v>120</v>
      </c>
      <c r="J22" s="157"/>
      <c r="K22" s="177" t="s">
        <v>115</v>
      </c>
      <c r="L22" s="178">
        <f t="shared" si="4"/>
        <v>1091225200</v>
      </c>
      <c r="M22" s="184"/>
      <c r="N22" s="180">
        <f>IF($L$22&gt;$N$21,0,$R$14)</f>
        <v>0</v>
      </c>
      <c r="O22" s="181">
        <f>+'TABLA DE INDICES'!$F$11</f>
        <v>0.02</v>
      </c>
      <c r="P22" s="182">
        <f t="shared" si="3"/>
        <v>0</v>
      </c>
      <c r="Q22" s="183"/>
      <c r="R22" s="262"/>
      <c r="S22" s="253">
        <f>+'TABLA DE INDICES'!$G$11</f>
        <v>20000</v>
      </c>
      <c r="T22" s="157"/>
      <c r="U22" s="154"/>
      <c r="V22" s="154"/>
      <c r="W22" s="154"/>
      <c r="X22" s="154"/>
      <c r="Y22" s="154"/>
      <c r="Z22" s="154"/>
      <c r="AA22" s="154"/>
      <c r="AB22" s="154"/>
    </row>
    <row r="23" spans="1:28" ht="21" thickBot="1" x14ac:dyDescent="0.35">
      <c r="A23" s="177" t="s">
        <v>173</v>
      </c>
      <c r="B23" s="178">
        <f t="shared" si="5"/>
        <v>13094702.4</v>
      </c>
      <c r="C23" s="179" t="s">
        <v>1</v>
      </c>
      <c r="D23" s="180">
        <f>IF($B$23&gt;$D$22,0,IF($B$24&lt;H$18,$B$24,H$18))</f>
        <v>0</v>
      </c>
      <c r="E23" s="181">
        <f>+'TABLA DE INDICES'!$F$8</f>
        <v>0.05</v>
      </c>
      <c r="F23" s="182">
        <f t="shared" si="6"/>
        <v>0</v>
      </c>
      <c r="G23" s="183"/>
      <c r="H23" s="259"/>
      <c r="I23" s="176">
        <f>+'TABLA DE INDICES'!$G$8</f>
        <v>240</v>
      </c>
      <c r="J23" s="157"/>
      <c r="K23" s="185"/>
      <c r="L23" s="186"/>
      <c r="M23" s="187"/>
      <c r="N23" s="186"/>
      <c r="O23" s="188" t="s">
        <v>2</v>
      </c>
      <c r="P23" s="189">
        <f>SUM(P16:P22)</f>
        <v>0</v>
      </c>
      <c r="Q23" s="190"/>
      <c r="R23" s="310">
        <f>+P23</f>
        <v>0</v>
      </c>
      <c r="S23" s="154"/>
      <c r="T23" s="154"/>
      <c r="U23" s="154"/>
      <c r="V23" s="154"/>
      <c r="W23" s="154"/>
      <c r="X23" s="154"/>
      <c r="Y23" s="154"/>
      <c r="Z23" s="154"/>
      <c r="AA23" s="154"/>
      <c r="AB23" s="154"/>
    </row>
    <row r="24" spans="1:28" ht="26.25" customHeight="1" thickBot="1" x14ac:dyDescent="0.25">
      <c r="A24" s="177" t="s">
        <v>173</v>
      </c>
      <c r="B24" s="178">
        <f t="shared" si="5"/>
        <v>261894048</v>
      </c>
      <c r="C24" s="179" t="s">
        <v>1</v>
      </c>
      <c r="D24" s="180">
        <f>IF($B$24&gt;$D$23,0,IF($B$25&lt;H$18,$B$25,H$18))</f>
        <v>0</v>
      </c>
      <c r="E24" s="181">
        <f>+'TABLA DE INDICES'!$F$9</f>
        <v>0.04</v>
      </c>
      <c r="F24" s="182">
        <f t="shared" si="6"/>
        <v>0</v>
      </c>
      <c r="G24" s="183"/>
      <c r="H24" s="260"/>
      <c r="I24" s="176">
        <f>+'TABLA DE INDICES'!$G$9</f>
        <v>4800</v>
      </c>
      <c r="J24" s="157"/>
      <c r="K24" s="408" t="s">
        <v>283</v>
      </c>
      <c r="L24" s="409"/>
      <c r="M24" s="409"/>
      <c r="N24" s="409"/>
      <c r="O24" s="409"/>
      <c r="P24" s="409"/>
      <c r="Q24" s="312">
        <v>0.12</v>
      </c>
      <c r="R24" s="311">
        <f>+R23*Q24</f>
        <v>0</v>
      </c>
      <c r="S24" s="309" t="e">
        <f>+R23/R14</f>
        <v>#DIV/0!</v>
      </c>
      <c r="T24" s="279" t="s">
        <v>171</v>
      </c>
      <c r="U24" s="154"/>
      <c r="V24" s="154"/>
      <c r="W24" s="154"/>
      <c r="X24" s="154"/>
      <c r="Y24" s="154"/>
      <c r="Z24" s="154"/>
      <c r="AA24" s="154"/>
      <c r="AB24" s="154"/>
    </row>
    <row r="25" spans="1:28" x14ac:dyDescent="0.2">
      <c r="A25" s="177" t="s">
        <v>173</v>
      </c>
      <c r="B25" s="178">
        <f t="shared" si="5"/>
        <v>545612600</v>
      </c>
      <c r="C25" s="179" t="s">
        <v>1</v>
      </c>
      <c r="D25" s="180">
        <f>IF($B$25&gt;$D$24,0,IF($B$26&lt;H$18,$B$26,H$18))</f>
        <v>0</v>
      </c>
      <c r="E25" s="181">
        <f>+'TABLA DE INDICES'!$F$10</f>
        <v>0.03</v>
      </c>
      <c r="F25" s="182">
        <f t="shared" si="6"/>
        <v>0</v>
      </c>
      <c r="G25" s="183"/>
      <c r="H25" s="261"/>
      <c r="I25" s="176">
        <f>+'TABLA DE INDICES'!$G$10</f>
        <v>10000</v>
      </c>
      <c r="J25" s="157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</row>
    <row r="26" spans="1:28" ht="20.25" customHeight="1" thickBot="1" x14ac:dyDescent="0.25">
      <c r="A26" s="282" t="s">
        <v>115</v>
      </c>
      <c r="B26" s="283">
        <f t="shared" si="5"/>
        <v>1091225200</v>
      </c>
      <c r="C26" s="284"/>
      <c r="D26" s="285">
        <f>IF($B$26&gt;$D$25,0,$H$18)</f>
        <v>0</v>
      </c>
      <c r="E26" s="286">
        <f>+'TABLA DE INDICES'!$F$11</f>
        <v>0.02</v>
      </c>
      <c r="F26" s="287">
        <f t="shared" si="6"/>
        <v>0</v>
      </c>
      <c r="G26" s="288"/>
      <c r="H26" s="262"/>
      <c r="I26" s="176">
        <f>+'TABLA DE INDICES'!$G$11</f>
        <v>20000</v>
      </c>
      <c r="J26" s="157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432" t="s">
        <v>281</v>
      </c>
      <c r="Z26" s="433"/>
      <c r="AA26" s="434"/>
      <c r="AB26" s="154"/>
    </row>
    <row r="27" spans="1:28" ht="35.25" customHeight="1" thickBot="1" x14ac:dyDescent="0.25">
      <c r="A27" s="408" t="s">
        <v>2</v>
      </c>
      <c r="B27" s="409"/>
      <c r="C27" s="409"/>
      <c r="D27" s="409"/>
      <c r="E27" s="409"/>
      <c r="F27" s="406">
        <f>SUM(F20:F26)</f>
        <v>0</v>
      </c>
      <c r="G27" s="407"/>
      <c r="H27" s="290">
        <f>+F27</f>
        <v>0</v>
      </c>
      <c r="I27" s="289" t="e">
        <f>+H27/H18</f>
        <v>#DIV/0!</v>
      </c>
      <c r="J27" s="314" t="s">
        <v>171</v>
      </c>
      <c r="K27" s="429" t="s">
        <v>278</v>
      </c>
      <c r="L27" s="430"/>
      <c r="M27" s="430"/>
      <c r="N27" s="430"/>
      <c r="O27" s="430"/>
      <c r="P27" s="430"/>
      <c r="Q27" s="430"/>
      <c r="R27" s="431"/>
      <c r="S27" s="154"/>
      <c r="T27" s="154"/>
      <c r="U27" s="154"/>
      <c r="V27" s="154"/>
      <c r="W27" s="154"/>
      <c r="X27" s="154"/>
      <c r="Y27" s="301">
        <v>0</v>
      </c>
      <c r="Z27" s="301">
        <f>500*H5</f>
        <v>27280630</v>
      </c>
      <c r="AA27" s="200">
        <f>1.5*$H$5</f>
        <v>81841.89</v>
      </c>
      <c r="AB27" s="154"/>
    </row>
    <row r="28" spans="1:28" ht="34.5" customHeight="1" thickBot="1" x14ac:dyDescent="0.3">
      <c r="A28" s="191"/>
      <c r="B28" s="192"/>
      <c r="C28" s="191"/>
      <c r="D28" s="192"/>
      <c r="E28" s="193"/>
      <c r="F28" s="194"/>
      <c r="G28" s="195"/>
      <c r="H28" s="331"/>
      <c r="I28" s="196"/>
      <c r="J28" s="197"/>
      <c r="K28" s="414" t="s">
        <v>136</v>
      </c>
      <c r="L28" s="415"/>
      <c r="M28" s="416"/>
      <c r="N28" s="241" t="s">
        <v>142</v>
      </c>
      <c r="O28" s="242" t="s">
        <v>139</v>
      </c>
      <c r="P28" s="240" t="s">
        <v>113</v>
      </c>
      <c r="Q28" s="240" t="s">
        <v>141</v>
      </c>
      <c r="R28" s="243" t="s">
        <v>0</v>
      </c>
      <c r="S28" s="154"/>
      <c r="T28" s="154"/>
      <c r="U28" s="154"/>
      <c r="V28" s="154"/>
      <c r="W28" s="154"/>
      <c r="X28" s="154"/>
      <c r="Y28" s="301">
        <f>500*H5</f>
        <v>27280630</v>
      </c>
      <c r="Z28" s="301">
        <f>2000*H5</f>
        <v>109122520</v>
      </c>
      <c r="AA28" s="200">
        <f>1.75*H5</f>
        <v>95482.205000000002</v>
      </c>
      <c r="AB28" s="154"/>
    </row>
    <row r="29" spans="1:28" ht="30" customHeight="1" thickBot="1" x14ac:dyDescent="0.25">
      <c r="A29" s="394" t="s">
        <v>209</v>
      </c>
      <c r="B29" s="395"/>
      <c r="C29" s="395"/>
      <c r="D29" s="395"/>
      <c r="E29" s="395"/>
      <c r="F29" s="395"/>
      <c r="G29" s="395"/>
      <c r="H29" s="396"/>
      <c r="I29" s="196"/>
      <c r="J29" s="197"/>
      <c r="K29" s="420" t="s">
        <v>270</v>
      </c>
      <c r="L29" s="421"/>
      <c r="M29" s="422"/>
      <c r="N29" s="317" t="s">
        <v>288</v>
      </c>
      <c r="O29" s="245">
        <v>1</v>
      </c>
      <c r="P29" s="141">
        <v>0</v>
      </c>
      <c r="Q29" s="165" t="s">
        <v>151</v>
      </c>
      <c r="R29" s="166">
        <f>+P29*O29</f>
        <v>0</v>
      </c>
      <c r="S29" s="154"/>
      <c r="T29" s="154"/>
      <c r="U29" s="154"/>
      <c r="V29" s="154"/>
      <c r="W29" s="154"/>
      <c r="X29" s="154"/>
      <c r="Y29" s="301">
        <f>2000*H5</f>
        <v>109122520</v>
      </c>
      <c r="Z29" s="301">
        <f>5000*H5</f>
        <v>272806300</v>
      </c>
      <c r="AA29" s="200">
        <f>2*H5</f>
        <v>109122.52</v>
      </c>
      <c r="AB29" s="154"/>
    </row>
    <row r="30" spans="1:28" ht="30" customHeight="1" thickBot="1" x14ac:dyDescent="0.3">
      <c r="A30" s="391" t="s">
        <v>183</v>
      </c>
      <c r="B30" s="392"/>
      <c r="C30" s="392"/>
      <c r="D30" s="392"/>
      <c r="E30" s="392"/>
      <c r="F30" s="393"/>
      <c r="G30" s="198">
        <f t="shared" ref="G30:G36" si="7">IF(A30=0,0,+VLOOKUP(A30,$A$39:$G$47,7,FALSE))</f>
        <v>0.6</v>
      </c>
      <c r="H30" s="268">
        <f t="shared" ref="H30:H36" si="8">IF(A30=0,0,+VLOOKUP(A30,$A$39:$H$47,8,FALSE))</f>
        <v>0</v>
      </c>
      <c r="I30" s="196"/>
      <c r="J30" s="197"/>
      <c r="K30" s="249"/>
      <c r="L30" s="244"/>
      <c r="M30" s="244"/>
      <c r="N30" s="250"/>
      <c r="O30" s="250"/>
      <c r="P30" s="248" t="s">
        <v>127</v>
      </c>
      <c r="Q30" s="246" t="s">
        <v>225</v>
      </c>
      <c r="R30" s="247">
        <f>R29</f>
        <v>0</v>
      </c>
      <c r="S30" s="154"/>
      <c r="T30" s="154"/>
      <c r="U30" s="154"/>
      <c r="V30" s="154"/>
      <c r="W30" s="154"/>
      <c r="X30" s="154"/>
      <c r="Y30" s="301">
        <f>5000*H5</f>
        <v>272806300</v>
      </c>
      <c r="Z30" s="301">
        <f>15000*H5</f>
        <v>818418900</v>
      </c>
      <c r="AA30" s="200">
        <f>2.5*H5</f>
        <v>136403.15</v>
      </c>
      <c r="AB30" s="154"/>
    </row>
    <row r="31" spans="1:28" ht="30" customHeight="1" thickBot="1" x14ac:dyDescent="0.25">
      <c r="A31" s="391" t="s">
        <v>196</v>
      </c>
      <c r="B31" s="392"/>
      <c r="C31" s="392"/>
      <c r="D31" s="392"/>
      <c r="E31" s="392"/>
      <c r="F31" s="393"/>
      <c r="G31" s="198">
        <f t="shared" si="7"/>
        <v>0</v>
      </c>
      <c r="H31" s="268">
        <f t="shared" si="8"/>
        <v>0</v>
      </c>
      <c r="I31" s="196"/>
      <c r="J31" s="197"/>
      <c r="K31" s="417" t="s">
        <v>272</v>
      </c>
      <c r="L31" s="418"/>
      <c r="M31" s="418"/>
      <c r="N31" s="418"/>
      <c r="O31" s="418"/>
      <c r="P31" s="418"/>
      <c r="Q31" s="418"/>
      <c r="R31" s="419"/>
      <c r="S31" s="154"/>
      <c r="T31" s="154"/>
      <c r="U31" s="154"/>
      <c r="V31" s="154"/>
      <c r="W31" s="154"/>
      <c r="X31" s="154"/>
      <c r="Y31" s="301"/>
      <c r="Z31" s="301">
        <f>15000*H5</f>
        <v>818418900</v>
      </c>
      <c r="AA31" s="201">
        <f>3*H5</f>
        <v>163683.78</v>
      </c>
      <c r="AB31" s="154"/>
    </row>
    <row r="32" spans="1:28" ht="30" customHeight="1" thickBot="1" x14ac:dyDescent="0.25">
      <c r="A32" s="391" t="s">
        <v>196</v>
      </c>
      <c r="B32" s="392"/>
      <c r="C32" s="392"/>
      <c r="D32" s="392"/>
      <c r="E32" s="392"/>
      <c r="F32" s="393"/>
      <c r="G32" s="198">
        <f t="shared" si="7"/>
        <v>0</v>
      </c>
      <c r="H32" s="268">
        <f t="shared" si="8"/>
        <v>0</v>
      </c>
      <c r="I32" s="196"/>
      <c r="J32" s="197"/>
      <c r="K32" s="458" t="s">
        <v>285</v>
      </c>
      <c r="L32" s="459"/>
      <c r="M32" s="459"/>
      <c r="N32" s="459"/>
      <c r="O32" s="459"/>
      <c r="P32" s="227" t="s">
        <v>258</v>
      </c>
      <c r="Q32" s="227" t="s">
        <v>139</v>
      </c>
      <c r="R32" s="222" t="s">
        <v>259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</row>
    <row r="33" spans="1:28" ht="30" customHeight="1" thickBot="1" x14ac:dyDescent="0.25">
      <c r="A33" s="391" t="s">
        <v>196</v>
      </c>
      <c r="B33" s="392"/>
      <c r="C33" s="392"/>
      <c r="D33" s="392"/>
      <c r="E33" s="392"/>
      <c r="F33" s="393"/>
      <c r="G33" s="198">
        <f t="shared" si="7"/>
        <v>0</v>
      </c>
      <c r="H33" s="268">
        <f t="shared" si="8"/>
        <v>0</v>
      </c>
      <c r="I33" s="196"/>
      <c r="J33" s="197"/>
      <c r="K33" s="403" t="s">
        <v>257</v>
      </c>
      <c r="L33" s="404"/>
      <c r="M33" s="404"/>
      <c r="N33" s="404"/>
      <c r="O33" s="405"/>
      <c r="P33" s="291" t="s">
        <v>226</v>
      </c>
      <c r="Q33" s="292">
        <v>1.4999999999999999E-2</v>
      </c>
      <c r="R33" s="293">
        <f>+R30*Q33</f>
        <v>0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</row>
    <row r="34" spans="1:28" ht="21" customHeight="1" thickBot="1" x14ac:dyDescent="0.25">
      <c r="A34" s="391" t="s">
        <v>196</v>
      </c>
      <c r="B34" s="392"/>
      <c r="C34" s="392"/>
      <c r="D34" s="392"/>
      <c r="E34" s="392"/>
      <c r="F34" s="393"/>
      <c r="G34" s="198">
        <f t="shared" si="7"/>
        <v>0</v>
      </c>
      <c r="H34" s="268">
        <f t="shared" si="8"/>
        <v>0</v>
      </c>
      <c r="I34" s="196"/>
      <c r="J34" s="197"/>
      <c r="K34" s="318" t="s">
        <v>234</v>
      </c>
      <c r="L34" s="263"/>
      <c r="M34" s="340"/>
      <c r="N34" s="263"/>
      <c r="O34" s="226" t="s">
        <v>237</v>
      </c>
      <c r="P34" s="264" t="s">
        <v>227</v>
      </c>
      <c r="Q34" s="264">
        <f>IF(O34=0,0,+VLOOKUP(O34,'TABLA DE INDICES'!D206:E208,2,FALSE))</f>
        <v>1.3</v>
      </c>
      <c r="R34" s="319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</row>
    <row r="35" spans="1:28" ht="30" customHeight="1" thickBot="1" x14ac:dyDescent="0.25">
      <c r="A35" s="391" t="s">
        <v>196</v>
      </c>
      <c r="B35" s="392"/>
      <c r="C35" s="392"/>
      <c r="D35" s="392"/>
      <c r="E35" s="392"/>
      <c r="F35" s="393"/>
      <c r="G35" s="198">
        <f t="shared" si="7"/>
        <v>0</v>
      </c>
      <c r="H35" s="268">
        <f t="shared" si="8"/>
        <v>0</v>
      </c>
      <c r="I35" s="158"/>
      <c r="J35" s="157"/>
      <c r="K35" s="320" t="s">
        <v>238</v>
      </c>
      <c r="L35" s="263"/>
      <c r="M35" s="340"/>
      <c r="N35" s="263"/>
      <c r="O35" s="226" t="s">
        <v>243</v>
      </c>
      <c r="P35" s="264" t="s">
        <v>228</v>
      </c>
      <c r="Q35" s="264">
        <f>IF(O35=0,0,+VLOOKUP(O35,'TABLA DE INDICES'!D209:F213,3,FALSE))</f>
        <v>1.3</v>
      </c>
      <c r="R35" s="319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</row>
    <row r="36" spans="1:28" ht="30.75" customHeight="1" thickBot="1" x14ac:dyDescent="0.25">
      <c r="A36" s="391" t="s">
        <v>196</v>
      </c>
      <c r="B36" s="392"/>
      <c r="C36" s="392"/>
      <c r="D36" s="392"/>
      <c r="E36" s="392"/>
      <c r="F36" s="393"/>
      <c r="G36" s="198">
        <f t="shared" si="7"/>
        <v>0</v>
      </c>
      <c r="H36" s="268">
        <f t="shared" si="8"/>
        <v>0</v>
      </c>
      <c r="I36" s="158"/>
      <c r="J36" s="157"/>
      <c r="K36" s="442" t="s">
        <v>244</v>
      </c>
      <c r="L36" s="443"/>
      <c r="M36" s="443"/>
      <c r="N36" s="321" t="s">
        <v>245</v>
      </c>
      <c r="O36" s="226" t="s">
        <v>247</v>
      </c>
      <c r="P36" s="264" t="s">
        <v>229</v>
      </c>
      <c r="Q36" s="264">
        <f>IF(O36=0,0,+VLOOKUP(O36,'TABLA DE INDICES'!D214:G216,4,FALSE))</f>
        <v>1</v>
      </c>
      <c r="R36" s="319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</row>
    <row r="37" spans="1:28" ht="21" customHeight="1" thickBot="1" x14ac:dyDescent="0.35">
      <c r="A37" s="448" t="s">
        <v>135</v>
      </c>
      <c r="B37" s="449"/>
      <c r="C37" s="449"/>
      <c r="D37" s="449"/>
      <c r="E37" s="449"/>
      <c r="F37" s="449"/>
      <c r="G37" s="450"/>
      <c r="H37" s="199">
        <f>SUM(H30:H36)</f>
        <v>0</v>
      </c>
      <c r="I37" s="154"/>
      <c r="J37" s="154"/>
      <c r="K37" s="442"/>
      <c r="L37" s="443"/>
      <c r="M37" s="443"/>
      <c r="N37" s="265" t="s">
        <v>249</v>
      </c>
      <c r="O37" s="226" t="s">
        <v>246</v>
      </c>
      <c r="P37" s="264" t="s">
        <v>230</v>
      </c>
      <c r="Q37" s="264">
        <f>IF(O37=0,0,+VLOOKUP(O37,'TABLA DE INDICES'!D217:H219,5,FALSE))</f>
        <v>0.8</v>
      </c>
      <c r="R37" s="319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</row>
    <row r="38" spans="1:28" ht="15.75" thickBot="1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7"/>
      <c r="K38" s="320" t="s">
        <v>251</v>
      </c>
      <c r="L38" s="263"/>
      <c r="M38" s="263"/>
      <c r="N38" s="263"/>
      <c r="O38" s="226" t="s">
        <v>252</v>
      </c>
      <c r="P38" s="264" t="s">
        <v>231</v>
      </c>
      <c r="Q38" s="264">
        <f>IF(O38=0,0,+VLOOKUP(O38,'TABLA DE INDICES'!D220:I223,6,FALSE))</f>
        <v>1</v>
      </c>
      <c r="R38" s="319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</row>
    <row r="39" spans="1:28" ht="16.5" thickBot="1" x14ac:dyDescent="0.3">
      <c r="A39" s="322" t="s">
        <v>183</v>
      </c>
      <c r="B39" s="323"/>
      <c r="C39" s="323"/>
      <c r="D39" s="323"/>
      <c r="E39" s="323"/>
      <c r="F39" s="323"/>
      <c r="G39" s="332">
        <v>0.6</v>
      </c>
      <c r="H39" s="335">
        <f>IF($H$27*G39=0,0,IF(G39*$H$27&lt;$H$5,$H$5,G39*$H$27))</f>
        <v>0</v>
      </c>
      <c r="I39" s="158"/>
      <c r="J39" s="157"/>
      <c r="K39" s="423"/>
      <c r="L39" s="424"/>
      <c r="M39" s="424"/>
      <c r="N39" s="424"/>
      <c r="O39" s="424"/>
      <c r="P39" s="424"/>
      <c r="Q39" s="424"/>
      <c r="R39" s="425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</row>
    <row r="40" spans="1:28" ht="16.5" thickBot="1" x14ac:dyDescent="0.3">
      <c r="A40" s="322" t="s">
        <v>184</v>
      </c>
      <c r="B40" s="322"/>
      <c r="C40" s="326"/>
      <c r="D40" s="323"/>
      <c r="E40" s="323"/>
      <c r="F40" s="323"/>
      <c r="G40" s="332">
        <v>0.4</v>
      </c>
      <c r="H40" s="335">
        <f t="shared" ref="H40:H42" si="9">IF($H$27*G40=0,0,IF(G40*$H$27&lt;$H$5,$H$5,G40*$H$27))</f>
        <v>0</v>
      </c>
      <c r="I40" s="158"/>
      <c r="J40" s="154"/>
      <c r="K40" s="438" t="s">
        <v>256</v>
      </c>
      <c r="L40" s="439"/>
      <c r="M40" s="439"/>
      <c r="N40" s="439"/>
      <c r="O40" s="439"/>
      <c r="P40" s="439"/>
      <c r="Q40" s="439"/>
      <c r="R40" s="294">
        <f>R33*Q34*Q35*Q36*Q37*Q38</f>
        <v>0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</row>
    <row r="41" spans="1:28" ht="16.5" customHeight="1" thickBot="1" x14ac:dyDescent="0.3">
      <c r="A41" s="322" t="s">
        <v>186</v>
      </c>
      <c r="B41" s="322"/>
      <c r="C41" s="326"/>
      <c r="D41" s="327"/>
      <c r="E41" s="327"/>
      <c r="F41" s="327"/>
      <c r="G41" s="332">
        <v>0.35</v>
      </c>
      <c r="H41" s="335">
        <f t="shared" si="9"/>
        <v>0</v>
      </c>
      <c r="I41" s="325"/>
      <c r="J41" s="154"/>
      <c r="K41" s="441" t="s">
        <v>269</v>
      </c>
      <c r="L41" s="263" t="s">
        <v>263</v>
      </c>
      <c r="M41" s="263"/>
      <c r="N41" s="263"/>
      <c r="O41" s="226" t="s">
        <v>265</v>
      </c>
      <c r="P41" s="266" t="s">
        <v>261</v>
      </c>
      <c r="Q41" s="267">
        <f>IF(O41=0,0,+VLOOKUP(O41,'TABLA DE INDICES'!D224:J225,7,FALSE))</f>
        <v>0</v>
      </c>
      <c r="R41" s="295"/>
      <c r="S41" s="456" t="s">
        <v>289</v>
      </c>
      <c r="T41" s="457"/>
      <c r="U41" s="154"/>
      <c r="V41" s="154"/>
      <c r="W41" s="154"/>
      <c r="X41" s="154"/>
      <c r="Y41" s="154"/>
      <c r="Z41" s="154"/>
      <c r="AA41" s="154"/>
      <c r="AB41" s="154"/>
    </row>
    <row r="42" spans="1:28" ht="16.5" thickBot="1" x14ac:dyDescent="0.3">
      <c r="A42" s="322" t="s">
        <v>131</v>
      </c>
      <c r="B42" s="322"/>
      <c r="C42" s="322"/>
      <c r="D42" s="327"/>
      <c r="E42" s="327"/>
      <c r="F42" s="327"/>
      <c r="G42" s="332">
        <v>0.06</v>
      </c>
      <c r="H42" s="335">
        <f t="shared" si="9"/>
        <v>0</v>
      </c>
      <c r="I42" s="158"/>
      <c r="J42" s="154"/>
      <c r="K42" s="441"/>
      <c r="L42" s="440" t="s">
        <v>267</v>
      </c>
      <c r="M42" s="440"/>
      <c r="N42" s="440"/>
      <c r="O42" s="328">
        <v>2</v>
      </c>
      <c r="P42" s="263"/>
      <c r="Q42" s="267"/>
      <c r="R42" s="295"/>
      <c r="S42" s="456"/>
      <c r="T42" s="457"/>
      <c r="U42" s="154"/>
      <c r="V42" s="154"/>
      <c r="W42" s="154"/>
      <c r="X42" s="154"/>
      <c r="Y42" s="154"/>
      <c r="Z42" s="154"/>
      <c r="AA42" s="154"/>
      <c r="AB42" s="154"/>
    </row>
    <row r="43" spans="1:28" ht="16.5" thickBot="1" x14ac:dyDescent="0.3">
      <c r="A43" s="322" t="s">
        <v>210</v>
      </c>
      <c r="B43" s="322"/>
      <c r="C43" s="322"/>
      <c r="D43" s="327"/>
      <c r="E43" s="327"/>
      <c r="F43" s="327"/>
      <c r="G43" s="332"/>
      <c r="H43" s="335"/>
      <c r="I43" s="158"/>
      <c r="J43" s="154"/>
      <c r="K43" s="441"/>
      <c r="L43" s="440" t="s">
        <v>268</v>
      </c>
      <c r="M43" s="440"/>
      <c r="N43" s="440"/>
      <c r="O43" s="329">
        <v>1</v>
      </c>
      <c r="P43" s="263"/>
      <c r="Q43" s="267"/>
      <c r="R43" s="295"/>
      <c r="S43" s="456"/>
      <c r="T43" s="457"/>
      <c r="U43" s="154"/>
      <c r="V43" s="154"/>
      <c r="W43" s="154"/>
      <c r="X43" s="154"/>
      <c r="Y43" s="154"/>
      <c r="Z43" s="154"/>
      <c r="AA43" s="154"/>
      <c r="AB43" s="154"/>
    </row>
    <row r="44" spans="1:28" ht="15.75" thickBot="1" x14ac:dyDescent="0.25">
      <c r="A44" s="445" t="s">
        <v>223</v>
      </c>
      <c r="B44" s="446"/>
      <c r="C44" s="446"/>
      <c r="D44" s="446"/>
      <c r="E44" s="446"/>
      <c r="F44" s="446"/>
      <c r="G44" s="332" t="e">
        <f>H44/H27</f>
        <v>#DIV/0!</v>
      </c>
      <c r="H44" s="335">
        <f>IF(AND(H18&gt;=Y27,H18&lt;=Z27),AA27,IF(AND(H18&gt;=Y28,H18&lt;=Z28),AA28,IF(AND(H18&gt;=Y29,H18&lt;=Z29),AA29,IF(AND(H18&gt;=Y30,H18&lt;=Z30),AA30,IF(H18&gt;Z31,AA31,Invalido)))))</f>
        <v>81841.89</v>
      </c>
      <c r="I44" s="158"/>
      <c r="J44" s="154"/>
      <c r="K44" s="441"/>
      <c r="L44" s="296"/>
      <c r="M44" s="296"/>
      <c r="N44" s="296"/>
      <c r="O44" s="296"/>
      <c r="P44" s="296"/>
      <c r="Q44" s="296"/>
      <c r="R44" s="297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</row>
    <row r="45" spans="1:28" ht="21" thickBot="1" x14ac:dyDescent="0.35">
      <c r="A45" s="322" t="s">
        <v>130</v>
      </c>
      <c r="B45" s="322"/>
      <c r="C45" s="326"/>
      <c r="D45" s="323"/>
      <c r="E45" s="323"/>
      <c r="F45" s="323"/>
      <c r="G45" s="332">
        <v>0.12</v>
      </c>
      <c r="H45" s="335">
        <f>IF(R23*G45=0,0,IF(G45*R23&lt;$H$5,$H$5,G45*R23))</f>
        <v>0</v>
      </c>
      <c r="I45" s="158"/>
      <c r="J45" s="154"/>
      <c r="K45" s="408" t="s">
        <v>282</v>
      </c>
      <c r="L45" s="409"/>
      <c r="M45" s="409"/>
      <c r="N45" s="409"/>
      <c r="O45" s="409"/>
      <c r="P45" s="409"/>
      <c r="Q45" s="410"/>
      <c r="R45" s="199">
        <f>Q41</f>
        <v>0</v>
      </c>
      <c r="S45" s="154"/>
      <c r="T45" s="154"/>
      <c r="U45" s="154"/>
      <c r="V45" s="154"/>
      <c r="W45" s="154"/>
      <c r="X45" s="154"/>
      <c r="Y45" s="154"/>
      <c r="Z45" s="154"/>
      <c r="AA45" s="154"/>
      <c r="AB45" s="154"/>
    </row>
    <row r="46" spans="1:28" ht="15.75" thickBot="1" x14ac:dyDescent="0.25">
      <c r="A46" s="445" t="s">
        <v>262</v>
      </c>
      <c r="B46" s="446"/>
      <c r="C46" s="446"/>
      <c r="D46" s="446"/>
      <c r="E46" s="446"/>
      <c r="F46" s="447"/>
      <c r="G46" s="332" t="e">
        <f>H46/R30</f>
        <v>#DIV/0!</v>
      </c>
      <c r="H46" s="335">
        <f>IF(R45=0,0,IF(R45&lt;$H$5,$H$5,R45))</f>
        <v>0</v>
      </c>
      <c r="I46" s="158"/>
      <c r="L46" s="250"/>
      <c r="M46" s="250"/>
      <c r="N46" s="250"/>
      <c r="O46" s="250"/>
      <c r="P46" s="250"/>
      <c r="Q46" s="250"/>
      <c r="R46" s="154"/>
      <c r="T46" s="154"/>
      <c r="U46" s="154"/>
      <c r="V46" s="154"/>
      <c r="W46" s="154"/>
      <c r="X46" s="154"/>
      <c r="Y46" s="154"/>
      <c r="Z46" s="154"/>
      <c r="AA46" s="154"/>
      <c r="AB46" s="154"/>
    </row>
    <row r="47" spans="1:28" ht="15.75" thickBot="1" x14ac:dyDescent="0.25">
      <c r="A47" s="445" t="s">
        <v>196</v>
      </c>
      <c r="B47" s="446"/>
      <c r="C47" s="446"/>
      <c r="D47" s="446"/>
      <c r="E47" s="446"/>
      <c r="F47" s="447"/>
      <c r="G47" s="324"/>
      <c r="H47" s="333"/>
      <c r="I47" s="154"/>
      <c r="L47" s="250"/>
      <c r="M47" s="250"/>
      <c r="N47" s="250"/>
      <c r="O47" s="250"/>
      <c r="P47" s="250"/>
      <c r="Q47" s="250"/>
      <c r="R47" s="154"/>
      <c r="T47" s="157"/>
      <c r="U47" s="154"/>
      <c r="V47" s="154"/>
      <c r="W47" s="154"/>
      <c r="X47" s="154"/>
      <c r="Y47" s="154"/>
      <c r="Z47" s="154"/>
      <c r="AA47" s="154"/>
      <c r="AB47" s="154"/>
    </row>
    <row r="48" spans="1:28" ht="16.5" customHeight="1" thickBot="1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L48" s="250"/>
      <c r="M48" s="250"/>
      <c r="N48" s="250"/>
      <c r="O48" s="250"/>
      <c r="P48" s="250"/>
      <c r="Q48" s="250"/>
      <c r="R48" s="250"/>
      <c r="S48" s="154"/>
      <c r="T48" s="157"/>
      <c r="U48" s="154"/>
      <c r="V48" s="154"/>
      <c r="W48" s="154"/>
      <c r="X48" s="154"/>
      <c r="Y48" s="154"/>
      <c r="Z48" s="154"/>
      <c r="AA48" s="154"/>
      <c r="AB48" s="154"/>
    </row>
    <row r="49" spans="1:28" ht="16.5" customHeight="1" thickBot="1" x14ac:dyDescent="0.3">
      <c r="A49" s="435" t="s">
        <v>134</v>
      </c>
      <c r="B49" s="436"/>
      <c r="C49" s="436"/>
      <c r="D49" s="436"/>
      <c r="E49" s="436"/>
      <c r="F49" s="436"/>
      <c r="G49" s="436"/>
      <c r="H49" s="451"/>
      <c r="I49" s="334" t="e">
        <f>+H52/H27</f>
        <v>#DIV/0!</v>
      </c>
      <c r="J49" s="386" t="s">
        <v>172</v>
      </c>
      <c r="S49" s="154"/>
      <c r="T49" s="157"/>
      <c r="U49" s="154"/>
      <c r="V49" s="154"/>
      <c r="W49" s="154"/>
      <c r="X49" s="154"/>
      <c r="Y49" s="154"/>
      <c r="Z49" s="154"/>
      <c r="AA49" s="154"/>
      <c r="AB49" s="154"/>
    </row>
    <row r="50" spans="1:28" ht="15.75" x14ac:dyDescent="0.25">
      <c r="A50" s="454" t="s">
        <v>134</v>
      </c>
      <c r="B50" s="202"/>
      <c r="C50" s="202"/>
      <c r="D50" s="203"/>
      <c r="E50" s="204" t="s">
        <v>132</v>
      </c>
      <c r="F50" s="204"/>
      <c r="G50" s="205">
        <v>0.03</v>
      </c>
      <c r="H50" s="206">
        <f>IF($H$37*$G$50=0,0,IF($G$50*$H$37&lt;$K$5,$K$5,$G$50*$H$37))</f>
        <v>0</v>
      </c>
      <c r="I50" s="196"/>
      <c r="J50" s="386"/>
      <c r="S50" s="154"/>
      <c r="T50" s="157"/>
      <c r="U50" s="154"/>
      <c r="V50" s="154"/>
      <c r="W50" s="154"/>
      <c r="X50" s="154"/>
      <c r="Y50" s="154"/>
      <c r="Z50" s="154"/>
      <c r="AA50" s="154"/>
      <c r="AB50" s="154"/>
    </row>
    <row r="51" spans="1:28" ht="15.75" x14ac:dyDescent="0.25">
      <c r="A51" s="455"/>
      <c r="B51" s="202"/>
      <c r="C51" s="202"/>
      <c r="D51" s="203"/>
      <c r="E51" s="204" t="s">
        <v>133</v>
      </c>
      <c r="F51" s="204"/>
      <c r="G51" s="205">
        <v>7.4999999999999997E-2</v>
      </c>
      <c r="H51" s="206">
        <f>+G51*H37</f>
        <v>0</v>
      </c>
      <c r="I51" s="154"/>
      <c r="J51" s="154"/>
      <c r="S51" s="154"/>
      <c r="T51" s="157"/>
      <c r="U51" s="154"/>
      <c r="V51" s="154"/>
      <c r="W51" s="154"/>
      <c r="X51" s="154"/>
      <c r="Y51" s="154"/>
      <c r="Z51" s="154"/>
      <c r="AA51" s="154"/>
      <c r="AB51" s="154"/>
    </row>
    <row r="52" spans="1:28" ht="15.75" x14ac:dyDescent="0.25">
      <c r="A52" s="273"/>
      <c r="B52" s="274"/>
      <c r="C52" s="274"/>
      <c r="D52" s="275"/>
      <c r="E52" s="275"/>
      <c r="F52" s="275"/>
      <c r="G52" s="276" t="s">
        <v>135</v>
      </c>
      <c r="H52" s="277">
        <f>SUM(H50:H51)</f>
        <v>0</v>
      </c>
      <c r="I52" s="154"/>
      <c r="J52" s="154"/>
      <c r="S52" s="154"/>
      <c r="T52" s="157"/>
      <c r="U52" s="154"/>
      <c r="V52" s="154"/>
      <c r="W52" s="154"/>
      <c r="X52" s="154"/>
      <c r="Y52" s="154"/>
      <c r="Z52" s="154"/>
      <c r="AA52" s="154"/>
      <c r="AB52" s="154"/>
    </row>
    <row r="53" spans="1:28" ht="16.5" thickBot="1" x14ac:dyDescent="0.3">
      <c r="A53" s="269"/>
      <c r="B53" s="269"/>
      <c r="C53" s="269"/>
      <c r="D53" s="270"/>
      <c r="E53" s="270"/>
      <c r="F53" s="270"/>
      <c r="G53" s="271"/>
      <c r="H53" s="272"/>
      <c r="I53" s="154"/>
      <c r="J53" s="154"/>
      <c r="S53" s="154"/>
      <c r="T53" s="157"/>
      <c r="U53" s="154"/>
      <c r="V53" s="154"/>
      <c r="W53" s="154"/>
      <c r="X53" s="154"/>
      <c r="Y53" s="154"/>
      <c r="Z53" s="154"/>
      <c r="AA53" s="154"/>
      <c r="AB53" s="154"/>
    </row>
    <row r="54" spans="1:28" ht="15.75" customHeight="1" thickBot="1" x14ac:dyDescent="0.3">
      <c r="A54" s="435" t="s">
        <v>279</v>
      </c>
      <c r="B54" s="436"/>
      <c r="C54" s="436"/>
      <c r="D54" s="436"/>
      <c r="E54" s="436"/>
      <c r="F54" s="436"/>
      <c r="G54" s="436"/>
      <c r="H54" s="436"/>
      <c r="I54" s="278" t="e">
        <f>+H57/H17</f>
        <v>#DIV/0!</v>
      </c>
      <c r="J54" s="387" t="s">
        <v>172</v>
      </c>
      <c r="S54" s="154"/>
      <c r="T54" s="157"/>
      <c r="U54" s="154"/>
      <c r="V54" s="154"/>
      <c r="W54" s="154"/>
      <c r="X54" s="154"/>
      <c r="Y54" s="154"/>
      <c r="Z54" s="154"/>
      <c r="AA54" s="154"/>
      <c r="AB54" s="154"/>
    </row>
    <row r="55" spans="1:28" ht="15.75" x14ac:dyDescent="0.25">
      <c r="A55" s="454" t="s">
        <v>134</v>
      </c>
      <c r="B55" s="202"/>
      <c r="C55" s="202"/>
      <c r="D55" s="203"/>
      <c r="E55" s="204" t="s">
        <v>132</v>
      </c>
      <c r="F55" s="204"/>
      <c r="G55" s="205">
        <v>0.03</v>
      </c>
      <c r="H55" s="206">
        <f>IF($H$17*G55=0,0,IF(G55*H17&lt;$K$5,$K$5,G55*H17))</f>
        <v>0</v>
      </c>
      <c r="I55" s="154"/>
      <c r="J55" s="387"/>
      <c r="S55" s="154"/>
      <c r="T55" s="157"/>
      <c r="U55" s="154"/>
      <c r="V55" s="154"/>
      <c r="W55" s="154"/>
      <c r="X55" s="154"/>
      <c r="Y55" s="154"/>
      <c r="Z55" s="154"/>
      <c r="AA55" s="154"/>
      <c r="AB55" s="154"/>
    </row>
    <row r="56" spans="1:28" ht="23.25" customHeight="1" x14ac:dyDescent="0.25">
      <c r="A56" s="455"/>
      <c r="B56" s="202"/>
      <c r="C56" s="202"/>
      <c r="D56" s="203"/>
      <c r="E56" s="204" t="s">
        <v>133</v>
      </c>
      <c r="F56" s="204"/>
      <c r="G56" s="205">
        <v>7.4999999999999997E-2</v>
      </c>
      <c r="H56" s="206">
        <f>+G56*H17</f>
        <v>0</v>
      </c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7"/>
      <c r="U56" s="154"/>
      <c r="V56" s="154"/>
      <c r="W56" s="154"/>
      <c r="X56" s="154"/>
      <c r="Y56" s="154"/>
      <c r="Z56" s="154"/>
      <c r="AA56" s="154"/>
      <c r="AB56" s="154"/>
    </row>
    <row r="57" spans="1:28" ht="15.75" x14ac:dyDescent="0.25">
      <c r="A57" s="273"/>
      <c r="B57" s="274"/>
      <c r="C57" s="274"/>
      <c r="D57" s="275"/>
      <c r="E57" s="275"/>
      <c r="F57" s="275"/>
      <c r="G57" s="276" t="s">
        <v>135</v>
      </c>
      <c r="H57" s="277">
        <f>SUM(H55:H56)</f>
        <v>0</v>
      </c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</row>
    <row r="58" spans="1:28" x14ac:dyDescent="0.2">
      <c r="A58" s="158" t="s">
        <v>143</v>
      </c>
      <c r="B58" s="158"/>
      <c r="C58" s="158"/>
      <c r="D58" s="154"/>
      <c r="E58" s="154"/>
      <c r="F58" s="154"/>
      <c r="G58" s="207"/>
      <c r="H58" s="208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</row>
    <row r="59" spans="1:28" ht="15" x14ac:dyDescent="0.2">
      <c r="A59" s="452" t="s">
        <v>140</v>
      </c>
      <c r="B59" s="452"/>
      <c r="C59" s="452"/>
      <c r="D59" s="452"/>
      <c r="E59" s="452"/>
      <c r="F59" s="452"/>
      <c r="G59" s="452"/>
      <c r="H59" s="452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</row>
    <row r="60" spans="1:28" ht="15" x14ac:dyDescent="0.2">
      <c r="A60" s="453" t="s">
        <v>144</v>
      </c>
      <c r="B60" s="453"/>
      <c r="C60" s="453"/>
      <c r="D60" s="453"/>
      <c r="E60" s="453"/>
      <c r="F60" s="453"/>
      <c r="G60" s="453"/>
      <c r="H60" s="453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</row>
    <row r="61" spans="1:28" ht="15" x14ac:dyDescent="0.25">
      <c r="A61" s="209" t="s">
        <v>174</v>
      </c>
      <c r="B61" s="209"/>
      <c r="C61" s="209"/>
      <c r="D61" s="209"/>
      <c r="E61" s="209"/>
      <c r="F61" s="209"/>
      <c r="G61" s="209"/>
      <c r="H61" s="209"/>
      <c r="I61" s="154"/>
      <c r="J61" s="154"/>
      <c r="K61" s="154"/>
      <c r="L61" s="216"/>
      <c r="M61" s="217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</row>
    <row r="62" spans="1:28" ht="15" x14ac:dyDescent="0.25">
      <c r="A62" s="210" t="s">
        <v>197</v>
      </c>
      <c r="B62" s="211"/>
      <c r="C62" s="211"/>
      <c r="D62" s="211"/>
      <c r="E62" s="211"/>
      <c r="F62" s="211"/>
      <c r="G62" s="211"/>
      <c r="H62" s="211"/>
      <c r="I62" s="213"/>
      <c r="J62" s="213"/>
      <c r="K62" s="216"/>
      <c r="L62" s="216"/>
      <c r="M62" s="217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</row>
    <row r="63" spans="1:28" x14ac:dyDescent="0.2">
      <c r="A63" s="158"/>
      <c r="B63" s="154"/>
      <c r="C63" s="154"/>
      <c r="D63" s="154"/>
      <c r="E63" s="154"/>
      <c r="F63" s="154"/>
      <c r="G63" s="154"/>
      <c r="H63" s="154"/>
      <c r="I63" s="213"/>
      <c r="J63" s="213"/>
      <c r="K63" s="216"/>
      <c r="L63" s="216"/>
      <c r="M63" s="217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</row>
    <row r="64" spans="1:28" x14ac:dyDescent="0.2">
      <c r="A64" s="212" t="s">
        <v>146</v>
      </c>
      <c r="B64" s="154"/>
      <c r="C64" s="154"/>
      <c r="D64" s="154"/>
      <c r="E64" s="154"/>
      <c r="F64" s="154"/>
      <c r="G64" s="154"/>
      <c r="H64" s="154"/>
      <c r="I64" s="213"/>
      <c r="J64" s="213"/>
      <c r="K64" s="216"/>
      <c r="L64" s="306"/>
      <c r="M64" s="306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</row>
    <row r="65" spans="1:28" x14ac:dyDescent="0.2">
      <c r="A65" s="213" t="s">
        <v>178</v>
      </c>
      <c r="B65" s="214"/>
      <c r="C65" s="213"/>
      <c r="D65" s="213"/>
      <c r="E65" s="213"/>
      <c r="F65" s="213"/>
      <c r="G65" s="213"/>
      <c r="H65" s="215"/>
      <c r="I65" s="306"/>
      <c r="J65" s="306"/>
      <c r="K65" s="306"/>
      <c r="L65" s="306"/>
      <c r="M65" s="306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</row>
    <row r="66" spans="1:28" x14ac:dyDescent="0.2">
      <c r="A66" s="213" t="s">
        <v>286</v>
      </c>
      <c r="B66" s="214"/>
      <c r="C66" s="213"/>
      <c r="D66" s="213"/>
      <c r="E66" s="213"/>
      <c r="F66" s="213"/>
      <c r="G66" s="213"/>
      <c r="H66" s="215"/>
      <c r="I66" s="330"/>
      <c r="J66" s="330"/>
      <c r="K66" s="330"/>
      <c r="L66" s="330"/>
      <c r="M66" s="330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</row>
    <row r="67" spans="1:28" x14ac:dyDescent="0.2">
      <c r="A67" s="213" t="s">
        <v>287</v>
      </c>
      <c r="B67" s="214"/>
      <c r="C67" s="213"/>
      <c r="D67" s="213"/>
      <c r="E67" s="213"/>
      <c r="F67" s="213"/>
      <c r="G67" s="213"/>
      <c r="H67" s="215"/>
      <c r="I67" s="330"/>
      <c r="J67" s="330"/>
      <c r="K67" s="330"/>
      <c r="L67" s="330"/>
      <c r="M67" s="330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</row>
    <row r="68" spans="1:28" x14ac:dyDescent="0.2">
      <c r="A68" s="217" t="s">
        <v>179</v>
      </c>
      <c r="B68" s="213"/>
      <c r="C68" s="213"/>
      <c r="D68" s="213"/>
      <c r="E68" s="213"/>
      <c r="F68" s="213"/>
      <c r="G68" s="213"/>
      <c r="H68" s="213"/>
      <c r="I68" s="306"/>
      <c r="J68" s="306"/>
      <c r="K68" s="306"/>
      <c r="L68" s="216"/>
      <c r="M68" s="217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</row>
    <row r="69" spans="1:28" x14ac:dyDescent="0.2">
      <c r="A69" s="213" t="s">
        <v>147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6"/>
      <c r="L69" s="216"/>
      <c r="M69" s="217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</row>
    <row r="70" spans="1:28" x14ac:dyDescent="0.2">
      <c r="A70" s="306" t="s">
        <v>176</v>
      </c>
      <c r="B70" s="306"/>
      <c r="C70" s="306"/>
      <c r="D70" s="306"/>
      <c r="E70" s="306"/>
      <c r="F70" s="306"/>
      <c r="G70" s="306"/>
      <c r="H70" s="306"/>
      <c r="I70" s="213"/>
      <c r="J70" s="213"/>
      <c r="K70" s="216"/>
      <c r="L70" s="217"/>
      <c r="M70" s="217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</row>
    <row r="71" spans="1:28" x14ac:dyDescent="0.2">
      <c r="A71" s="306" t="s">
        <v>180</v>
      </c>
      <c r="B71" s="306"/>
      <c r="C71" s="306"/>
      <c r="D71" s="306"/>
      <c r="E71" s="306"/>
      <c r="F71" s="306"/>
      <c r="G71" s="306"/>
      <c r="H71" s="306"/>
      <c r="I71" s="219"/>
      <c r="J71" s="219"/>
      <c r="K71" s="217"/>
      <c r="L71" s="217"/>
      <c r="M71" s="217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</row>
    <row r="72" spans="1:28" x14ac:dyDescent="0.2">
      <c r="A72" s="444" t="s">
        <v>188</v>
      </c>
      <c r="B72" s="444"/>
      <c r="C72" s="444"/>
      <c r="D72" s="444"/>
      <c r="E72" s="444"/>
      <c r="F72" s="444"/>
      <c r="G72" s="444"/>
      <c r="H72" s="444"/>
      <c r="I72" s="219"/>
      <c r="J72" s="219"/>
      <c r="K72" s="217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</row>
    <row r="73" spans="1:28" x14ac:dyDescent="0.2">
      <c r="A73" s="218" t="s">
        <v>148</v>
      </c>
      <c r="B73" s="306"/>
      <c r="C73" s="306"/>
      <c r="D73" s="306"/>
      <c r="E73" s="306"/>
      <c r="F73" s="306"/>
      <c r="G73" s="306"/>
      <c r="H73" s="306"/>
      <c r="I73" s="220"/>
      <c r="J73" s="220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</row>
    <row r="74" spans="1:28" x14ac:dyDescent="0.2">
      <c r="A74" s="444" t="s">
        <v>181</v>
      </c>
      <c r="B74" s="444"/>
      <c r="C74" s="444"/>
      <c r="D74" s="444"/>
      <c r="E74" s="444"/>
      <c r="F74" s="444"/>
      <c r="G74" s="444"/>
      <c r="H74" s="444"/>
      <c r="I74" s="220"/>
      <c r="J74" s="220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</row>
    <row r="75" spans="1:28" x14ac:dyDescent="0.2">
      <c r="A75" s="444" t="s">
        <v>187</v>
      </c>
      <c r="B75" s="444"/>
      <c r="C75" s="444"/>
      <c r="D75" s="444"/>
      <c r="E75" s="444"/>
      <c r="F75" s="444"/>
      <c r="G75" s="444"/>
      <c r="H75" s="44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</row>
    <row r="76" spans="1:28" x14ac:dyDescent="0.2">
      <c r="A76" s="220"/>
      <c r="B76" s="220"/>
      <c r="C76" s="220"/>
      <c r="D76" s="220"/>
      <c r="E76" s="220"/>
      <c r="F76" s="220"/>
      <c r="G76" s="220"/>
      <c r="H76" s="220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</row>
    <row r="77" spans="1:28" x14ac:dyDescent="0.2">
      <c r="A77" s="220"/>
      <c r="B77" s="220"/>
      <c r="C77" s="220"/>
      <c r="D77" s="220"/>
      <c r="E77" s="220"/>
      <c r="F77" s="220"/>
      <c r="G77" s="220"/>
      <c r="H77" s="220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</row>
  </sheetData>
  <sheetProtection algorithmName="SHA-512" hashValue="95QoEv9d3H2CW8+6k54pnqyFinQAn5mqq7sqdVrhEyDcFOmda+VTNjxP9QladaLjCeTibQE508WLlkhDV9kQOw==" saltValue="wQYDCW4NHujWfGgWjBFWcg==" spinCount="100000" sheet="1" objects="1" scenarios="1"/>
  <mergeCells count="61">
    <mergeCell ref="S41:T43"/>
    <mergeCell ref="K32:O32"/>
    <mergeCell ref="K10:M10"/>
    <mergeCell ref="K11:M11"/>
    <mergeCell ref="K12:M12"/>
    <mergeCell ref="K13:M13"/>
    <mergeCell ref="A72:H72"/>
    <mergeCell ref="A74:H74"/>
    <mergeCell ref="A75:H75"/>
    <mergeCell ref="A35:F35"/>
    <mergeCell ref="A47:F47"/>
    <mergeCell ref="A37:G37"/>
    <mergeCell ref="A36:F36"/>
    <mergeCell ref="A44:F44"/>
    <mergeCell ref="A49:H49"/>
    <mergeCell ref="A46:F46"/>
    <mergeCell ref="A59:H59"/>
    <mergeCell ref="A60:H60"/>
    <mergeCell ref="A50:A51"/>
    <mergeCell ref="A55:A56"/>
    <mergeCell ref="Y26:AA26"/>
    <mergeCell ref="A17:C17"/>
    <mergeCell ref="A30:F30"/>
    <mergeCell ref="A54:H54"/>
    <mergeCell ref="A19:H19"/>
    <mergeCell ref="A27:E27"/>
    <mergeCell ref="K28:M28"/>
    <mergeCell ref="K31:R31"/>
    <mergeCell ref="A32:F32"/>
    <mergeCell ref="A33:F33"/>
    <mergeCell ref="A34:F34"/>
    <mergeCell ref="K40:Q40"/>
    <mergeCell ref="L42:N42"/>
    <mergeCell ref="L43:N43"/>
    <mergeCell ref="K41:K44"/>
    <mergeCell ref="K36:M37"/>
    <mergeCell ref="I5:J5"/>
    <mergeCell ref="A6:H6"/>
    <mergeCell ref="K33:O33"/>
    <mergeCell ref="F27:G27"/>
    <mergeCell ref="K45:Q45"/>
    <mergeCell ref="K24:P24"/>
    <mergeCell ref="A8:H8"/>
    <mergeCell ref="K8:R8"/>
    <mergeCell ref="K9:M9"/>
    <mergeCell ref="K15:R15"/>
    <mergeCell ref="K29:M29"/>
    <mergeCell ref="K39:R39"/>
    <mergeCell ref="A9:C9"/>
    <mergeCell ref="A11:C11"/>
    <mergeCell ref="A12:C12"/>
    <mergeCell ref="K27:R27"/>
    <mergeCell ref="J49:J50"/>
    <mergeCell ref="J54:J55"/>
    <mergeCell ref="A13:C13"/>
    <mergeCell ref="A10:C10"/>
    <mergeCell ref="A31:F31"/>
    <mergeCell ref="A29:H29"/>
    <mergeCell ref="A15:C15"/>
    <mergeCell ref="A14:C14"/>
    <mergeCell ref="A16:C16"/>
  </mergeCells>
  <phoneticPr fontId="30" type="noConversion"/>
  <dataValidations count="2">
    <dataValidation type="list" allowBlank="1" showInputMessage="1" showErrorMessage="1" sqref="E44" xr:uid="{00000000-0002-0000-0100-000000000000}">
      <formula1>$A$39:$A$45</formula1>
    </dataValidation>
    <dataValidation type="list" allowBlank="1" showInputMessage="1" showErrorMessage="1" sqref="A30:F36" xr:uid="{00000000-0002-0000-0100-000001000000}">
      <formula1>$A$39:$A$47</formula1>
    </dataValidation>
  </dataValidations>
  <pageMargins left="0.59055118110236227" right="0.19685039370078741" top="0.39370078740157483" bottom="0.98425196850393704" header="0.39370078740157483" footer="0"/>
  <pageSetup paperSize="5" orientation="landscape" horizontalDpi="4294967293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2000000}">
          <x14:formula1>
            <xm:f>'TABLA DE INDICES'!$B$180:$B$186</xm:f>
          </x14:formula1>
          <xm:sqref>A17:C17</xm:sqref>
        </x14:dataValidation>
        <x14:dataValidation type="list" allowBlank="1" showErrorMessage="1" promptTitle="BUSCAR TIPOLOGIA " prompt="Seleccione algunas de las opciones" xr:uid="{00000000-0002-0000-0100-000003000000}">
          <x14:formula1>
            <xm:f>'TABLA DE INDICES'!$B$8:$B$174</xm:f>
          </x14:formula1>
          <xm:sqref>A10:C15 K10:K12</xm:sqref>
        </x14:dataValidation>
        <x14:dataValidation type="list" allowBlank="1" showInputMessage="1" showErrorMessage="1" xr:uid="{00000000-0002-0000-0100-000004000000}">
          <x14:formula1>
            <xm:f>'TABLA DE INDICES'!$F$15:$F$17</xm:f>
          </x14:formula1>
          <xm:sqref>D10:D16</xm:sqref>
        </x14:dataValidation>
        <x14:dataValidation type="list" allowBlank="1" showInputMessage="1" showErrorMessage="1" xr:uid="{00000000-0002-0000-0100-000005000000}">
          <x14:formula1>
            <xm:f>'TABLA DE INDICES'!$D$206:$D$208</xm:f>
          </x14:formula1>
          <xm:sqref>O34</xm:sqref>
        </x14:dataValidation>
        <x14:dataValidation type="list" allowBlank="1" showInputMessage="1" showErrorMessage="1" xr:uid="{00000000-0002-0000-0100-000006000000}">
          <x14:formula1>
            <xm:f>'TABLA DE INDICES'!$D$209:$D$213</xm:f>
          </x14:formula1>
          <xm:sqref>O35</xm:sqref>
        </x14:dataValidation>
        <x14:dataValidation type="list" allowBlank="1" showInputMessage="1" showErrorMessage="1" xr:uid="{00000000-0002-0000-0100-000007000000}">
          <x14:formula1>
            <xm:f>'TABLA DE INDICES'!$D$214:$D$216</xm:f>
          </x14:formula1>
          <xm:sqref>O36</xm:sqref>
        </x14:dataValidation>
        <x14:dataValidation type="list" allowBlank="1" showInputMessage="1" showErrorMessage="1" xr:uid="{00000000-0002-0000-0100-000008000000}">
          <x14:formula1>
            <xm:f>'TABLA DE INDICES'!$D$217:$D$219</xm:f>
          </x14:formula1>
          <xm:sqref>O37</xm:sqref>
        </x14:dataValidation>
        <x14:dataValidation type="list" allowBlank="1" showInputMessage="1" showErrorMessage="1" xr:uid="{00000000-0002-0000-0100-000009000000}">
          <x14:formula1>
            <xm:f>'TABLA DE INDICES'!$D$220:$D$223</xm:f>
          </x14:formula1>
          <xm:sqref>O38</xm:sqref>
        </x14:dataValidation>
        <x14:dataValidation type="list" allowBlank="1" showInputMessage="1" showErrorMessage="1" xr:uid="{00000000-0002-0000-0100-00000A000000}">
          <x14:formula1>
            <xm:f>'TABLA DE INDICES'!$D$224:$D$225</xm:f>
          </x14:formula1>
          <xm:sqref>O41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DE INDICES</vt:lpstr>
      <vt:lpstr>PLANILLA CALCULO DE HONORARIOS</vt:lpstr>
      <vt:lpstr>'PLANILLA CALCULO DE HONORARIOS'!Área_de_impresión</vt:lpstr>
      <vt:lpstr>'TABLA DE INDICES'!Área_de_impresión</vt:lpstr>
      <vt:lpstr>COLEGIO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Adrianmax</cp:lastModifiedBy>
  <cp:lastPrinted>2021-08-09T16:43:49Z</cp:lastPrinted>
  <dcterms:created xsi:type="dcterms:W3CDTF">2005-07-14T23:15:53Z</dcterms:created>
  <dcterms:modified xsi:type="dcterms:W3CDTF">2022-01-05T11:22:31Z</dcterms:modified>
</cp:coreProperties>
</file>